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Langstone+Glut_Experiment\Langstone+Glut_Data\Surface_Profilometry\"/>
    </mc:Choice>
  </mc:AlternateContent>
  <xr:revisionPtr revIDLastSave="0" documentId="13_ncr:1_{8FB77CA8-E24A-4540-8F2A-BD6F556E4E1A}" xr6:coauthVersionLast="47" xr6:coauthVersionMax="47" xr10:uidLastSave="{00000000-0000-0000-0000-000000000000}"/>
  <bookViews>
    <workbookView xWindow="-28920" yWindow="-120" windowWidth="29040" windowHeight="16440" activeTab="2" xr2:uid="{5AAD6EB5-A945-4724-B45D-2E36715C566C}"/>
  </bookViews>
  <sheets>
    <sheet name="Control_Coupons" sheetId="1" r:id="rId1"/>
    <sheet name="Control_Pits" sheetId="3" r:id="rId2"/>
    <sheet name="Test_Coupons" sheetId="2" r:id="rId3"/>
    <sheet name="Test_Pit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J49" i="1"/>
  <c r="O49" i="1"/>
  <c r="H50" i="2"/>
  <c r="O50" i="2"/>
  <c r="J50" i="2"/>
  <c r="Q49" i="1"/>
  <c r="Q50" i="2"/>
  <c r="Q43" i="2"/>
  <c r="E47" i="2"/>
  <c r="D47" i="2"/>
  <c r="E46" i="2"/>
  <c r="D46" i="2"/>
  <c r="E45" i="2"/>
  <c r="F45" i="2" s="1"/>
  <c r="K45" i="2" s="1"/>
  <c r="D45" i="2"/>
  <c r="E44" i="2"/>
  <c r="D44" i="2"/>
  <c r="D48" i="2" s="1"/>
  <c r="E43" i="2"/>
  <c r="D43" i="2"/>
  <c r="E39" i="2"/>
  <c r="F39" i="2" s="1"/>
  <c r="K39" i="2" s="1"/>
  <c r="D39" i="2"/>
  <c r="E38" i="2"/>
  <c r="F38" i="2" s="1"/>
  <c r="K38" i="2" s="1"/>
  <c r="D38" i="2"/>
  <c r="E37" i="2"/>
  <c r="D37" i="2"/>
  <c r="E36" i="2"/>
  <c r="F36" i="2" s="1"/>
  <c r="K36" i="2" s="1"/>
  <c r="D36" i="2"/>
  <c r="E35" i="2"/>
  <c r="D35" i="2"/>
  <c r="E31" i="2"/>
  <c r="D31" i="2"/>
  <c r="E30" i="2"/>
  <c r="F30" i="2" s="1"/>
  <c r="K30" i="2" s="1"/>
  <c r="D30" i="2"/>
  <c r="E29" i="2"/>
  <c r="D29" i="2"/>
  <c r="E28" i="2"/>
  <c r="F28" i="2" s="1"/>
  <c r="D28" i="2"/>
  <c r="E27" i="2"/>
  <c r="F27" i="2" s="1"/>
  <c r="K27" i="2" s="1"/>
  <c r="D27" i="2"/>
  <c r="D32" i="2" s="1"/>
  <c r="E26" i="2"/>
  <c r="D26" i="2"/>
  <c r="C6" i="4"/>
  <c r="C5" i="4"/>
  <c r="E22" i="2"/>
  <c r="D22" i="2"/>
  <c r="E21" i="2"/>
  <c r="D21" i="2"/>
  <c r="E20" i="2"/>
  <c r="D20" i="2"/>
  <c r="E19" i="2"/>
  <c r="D19" i="2"/>
  <c r="E18" i="2"/>
  <c r="D18" i="2"/>
  <c r="E14" i="2"/>
  <c r="D14" i="2"/>
  <c r="E13" i="2"/>
  <c r="D13" i="2"/>
  <c r="E12" i="2"/>
  <c r="E15" i="2" s="1"/>
  <c r="D12" i="2"/>
  <c r="D15" i="2" s="1"/>
  <c r="E11" i="2"/>
  <c r="D11" i="2"/>
  <c r="E10" i="2"/>
  <c r="D10" i="2"/>
  <c r="E6" i="2"/>
  <c r="F6" i="2" s="1"/>
  <c r="K6" i="2" s="1"/>
  <c r="D6" i="2"/>
  <c r="E5" i="2"/>
  <c r="F5" i="2" s="1"/>
  <c r="K5" i="2" s="1"/>
  <c r="D5" i="2"/>
  <c r="E4" i="2"/>
  <c r="D4" i="2"/>
  <c r="E3" i="2"/>
  <c r="D3" i="2"/>
  <c r="E2" i="2"/>
  <c r="D2" i="2"/>
  <c r="E46" i="1"/>
  <c r="D46" i="1"/>
  <c r="E45" i="1"/>
  <c r="D45" i="1"/>
  <c r="E44" i="1"/>
  <c r="D44" i="1"/>
  <c r="E43" i="1"/>
  <c r="F43" i="1" s="1"/>
  <c r="K43" i="1" s="1"/>
  <c r="D43" i="1"/>
  <c r="E42" i="1"/>
  <c r="F42" i="1" s="1"/>
  <c r="K42" i="1" s="1"/>
  <c r="D42" i="1"/>
  <c r="E38" i="1"/>
  <c r="D38" i="1"/>
  <c r="E37" i="1"/>
  <c r="D37" i="1"/>
  <c r="E36" i="1"/>
  <c r="D36" i="1"/>
  <c r="E35" i="1"/>
  <c r="D35" i="1"/>
  <c r="E34" i="1"/>
  <c r="D34" i="1"/>
  <c r="C16" i="3"/>
  <c r="E30" i="1"/>
  <c r="F30" i="1" s="1"/>
  <c r="K30" i="1" s="1"/>
  <c r="D30" i="1"/>
  <c r="E29" i="1"/>
  <c r="F29" i="1" s="1"/>
  <c r="K29" i="1" s="1"/>
  <c r="D29" i="1"/>
  <c r="E28" i="1"/>
  <c r="D28" i="1"/>
  <c r="E27" i="1"/>
  <c r="D27" i="1"/>
  <c r="E26" i="1"/>
  <c r="D26" i="1"/>
  <c r="E22" i="1"/>
  <c r="D22" i="1"/>
  <c r="E21" i="1"/>
  <c r="D21" i="1"/>
  <c r="E20" i="1"/>
  <c r="D20" i="1"/>
  <c r="E19" i="1"/>
  <c r="F19" i="1" s="1"/>
  <c r="K19" i="1" s="1"/>
  <c r="D19" i="1"/>
  <c r="E18" i="1"/>
  <c r="D18" i="1"/>
  <c r="C14" i="3"/>
  <c r="C13" i="3"/>
  <c r="C12" i="3"/>
  <c r="C11" i="3"/>
  <c r="C10" i="3"/>
  <c r="C9" i="3"/>
  <c r="C8" i="3"/>
  <c r="C7" i="3"/>
  <c r="C6" i="3"/>
  <c r="C5" i="3"/>
  <c r="E14" i="1"/>
  <c r="D14" i="1"/>
  <c r="E13" i="1"/>
  <c r="D13" i="1"/>
  <c r="E12" i="1"/>
  <c r="D12" i="1"/>
  <c r="E11" i="1"/>
  <c r="D11" i="1"/>
  <c r="E10" i="1"/>
  <c r="D10" i="1"/>
  <c r="D15" i="1" s="1"/>
  <c r="E6" i="1"/>
  <c r="F6" i="1" s="1"/>
  <c r="K6" i="1" s="1"/>
  <c r="D6" i="1"/>
  <c r="E5" i="1"/>
  <c r="D5" i="1"/>
  <c r="E4" i="1"/>
  <c r="F4" i="1" s="1"/>
  <c r="K4" i="1" s="1"/>
  <c r="D4" i="1"/>
  <c r="E3" i="1"/>
  <c r="F3" i="1" s="1"/>
  <c r="K3" i="1" s="1"/>
  <c r="D3" i="1"/>
  <c r="E2" i="1"/>
  <c r="E7" i="1" s="1"/>
  <c r="D2" i="1"/>
  <c r="P30" i="2"/>
  <c r="Q30" i="2" s="1"/>
  <c r="I30" i="2"/>
  <c r="O48" i="2"/>
  <c r="N48" i="2"/>
  <c r="M48" i="2"/>
  <c r="J48" i="2"/>
  <c r="H48" i="2"/>
  <c r="G48" i="2"/>
  <c r="C48" i="2"/>
  <c r="P47" i="2"/>
  <c r="Q47" i="2" s="1"/>
  <c r="I47" i="2"/>
  <c r="F47" i="2"/>
  <c r="K47" i="2" s="1"/>
  <c r="P46" i="2"/>
  <c r="Q46" i="2" s="1"/>
  <c r="I46" i="2"/>
  <c r="F46" i="2"/>
  <c r="P45" i="2"/>
  <c r="Q45" i="2" s="1"/>
  <c r="I45" i="2"/>
  <c r="P44" i="2"/>
  <c r="Q44" i="2" s="1"/>
  <c r="I44" i="2"/>
  <c r="F44" i="2"/>
  <c r="K44" i="2" s="1"/>
  <c r="P43" i="2"/>
  <c r="I43" i="2"/>
  <c r="F43" i="2"/>
  <c r="K43" i="2" s="1"/>
  <c r="O40" i="2"/>
  <c r="N40" i="2"/>
  <c r="M40" i="2"/>
  <c r="J40" i="2"/>
  <c r="H40" i="2"/>
  <c r="G40" i="2"/>
  <c r="D40" i="2"/>
  <c r="C40" i="2"/>
  <c r="P39" i="2"/>
  <c r="Q39" i="2" s="1"/>
  <c r="I39" i="2"/>
  <c r="P38" i="2"/>
  <c r="Q38" i="2" s="1"/>
  <c r="I38" i="2"/>
  <c r="P37" i="2"/>
  <c r="Q37" i="2" s="1"/>
  <c r="I37" i="2"/>
  <c r="F37" i="2"/>
  <c r="K37" i="2" s="1"/>
  <c r="P36" i="2"/>
  <c r="Q36" i="2" s="1"/>
  <c r="I36" i="2"/>
  <c r="P35" i="2"/>
  <c r="Q35" i="2" s="1"/>
  <c r="I35" i="2"/>
  <c r="F35" i="2"/>
  <c r="O32" i="2"/>
  <c r="N32" i="2"/>
  <c r="M32" i="2"/>
  <c r="J32" i="2"/>
  <c r="H32" i="2"/>
  <c r="G32" i="2"/>
  <c r="C32" i="2"/>
  <c r="P31" i="2"/>
  <c r="Q31" i="2" s="1"/>
  <c r="I31" i="2"/>
  <c r="F31" i="2"/>
  <c r="K31" i="2" s="1"/>
  <c r="P29" i="2"/>
  <c r="Q29" i="2" s="1"/>
  <c r="I29" i="2"/>
  <c r="F29" i="2"/>
  <c r="K29" i="2" s="1"/>
  <c r="P28" i="2"/>
  <c r="Q28" i="2" s="1"/>
  <c r="I28" i="2"/>
  <c r="P27" i="2"/>
  <c r="Q27" i="2" s="1"/>
  <c r="I27" i="2"/>
  <c r="P26" i="2"/>
  <c r="I26" i="2"/>
  <c r="F26" i="2"/>
  <c r="K26" i="2" s="1"/>
  <c r="O23" i="2"/>
  <c r="N23" i="2"/>
  <c r="M23" i="2"/>
  <c r="J23" i="2"/>
  <c r="H23" i="2"/>
  <c r="G23" i="2"/>
  <c r="E23" i="2"/>
  <c r="D23" i="2"/>
  <c r="C23" i="2"/>
  <c r="P22" i="2"/>
  <c r="Q22" i="2" s="1"/>
  <c r="I22" i="2"/>
  <c r="F22" i="2"/>
  <c r="K22" i="2" s="1"/>
  <c r="P21" i="2"/>
  <c r="Q21" i="2" s="1"/>
  <c r="I21" i="2"/>
  <c r="F21" i="2"/>
  <c r="K21" i="2" s="1"/>
  <c r="P20" i="2"/>
  <c r="Q20" i="2" s="1"/>
  <c r="I20" i="2"/>
  <c r="F20" i="2"/>
  <c r="K20" i="2" s="1"/>
  <c r="P19" i="2"/>
  <c r="Q19" i="2" s="1"/>
  <c r="I19" i="2"/>
  <c r="F19" i="2"/>
  <c r="K19" i="2" s="1"/>
  <c r="P18" i="2"/>
  <c r="Q18" i="2" s="1"/>
  <c r="I18" i="2"/>
  <c r="F18" i="2"/>
  <c r="K18" i="2" s="1"/>
  <c r="O15" i="2"/>
  <c r="N15" i="2"/>
  <c r="M15" i="2"/>
  <c r="J15" i="2"/>
  <c r="H15" i="2"/>
  <c r="G15" i="2"/>
  <c r="C15" i="2"/>
  <c r="P14" i="2"/>
  <c r="Q14" i="2" s="1"/>
  <c r="I14" i="2"/>
  <c r="F14" i="2"/>
  <c r="K14" i="2" s="1"/>
  <c r="P13" i="2"/>
  <c r="Q13" i="2" s="1"/>
  <c r="I13" i="2"/>
  <c r="F13" i="2"/>
  <c r="K13" i="2" s="1"/>
  <c r="P12" i="2"/>
  <c r="Q12" i="2" s="1"/>
  <c r="I12" i="2"/>
  <c r="F12" i="2"/>
  <c r="P11" i="2"/>
  <c r="Q11" i="2" s="1"/>
  <c r="I11" i="2"/>
  <c r="F11" i="2"/>
  <c r="K11" i="2" s="1"/>
  <c r="P10" i="2"/>
  <c r="Q10" i="2" s="1"/>
  <c r="I10" i="2"/>
  <c r="I15" i="2" s="1"/>
  <c r="F10" i="2"/>
  <c r="K10" i="2" s="1"/>
  <c r="O7" i="2"/>
  <c r="N7" i="2"/>
  <c r="M7" i="2"/>
  <c r="J7" i="2"/>
  <c r="H7" i="2"/>
  <c r="G7" i="2"/>
  <c r="D7" i="2"/>
  <c r="C7" i="2"/>
  <c r="P6" i="2"/>
  <c r="Q6" i="2" s="1"/>
  <c r="I6" i="2"/>
  <c r="P5" i="2"/>
  <c r="Q5" i="2" s="1"/>
  <c r="I5" i="2"/>
  <c r="P4" i="2"/>
  <c r="Q4" i="2" s="1"/>
  <c r="I4" i="2"/>
  <c r="F4" i="2"/>
  <c r="K4" i="2" s="1"/>
  <c r="P3" i="2"/>
  <c r="Q3" i="2" s="1"/>
  <c r="I3" i="2"/>
  <c r="F3" i="2"/>
  <c r="K3" i="2" s="1"/>
  <c r="P2" i="2"/>
  <c r="Q2" i="2" s="1"/>
  <c r="I2" i="2"/>
  <c r="F2" i="2"/>
  <c r="F2" i="1"/>
  <c r="K2" i="1" s="1"/>
  <c r="I2" i="1"/>
  <c r="I3" i="1"/>
  <c r="I4" i="1"/>
  <c r="F5" i="1"/>
  <c r="K5" i="1" s="1"/>
  <c r="I5" i="1"/>
  <c r="I6" i="1"/>
  <c r="P2" i="1"/>
  <c r="Q2" i="1" s="1"/>
  <c r="P3" i="1"/>
  <c r="Q3" i="1" s="1"/>
  <c r="P4" i="1"/>
  <c r="Q4" i="1" s="1"/>
  <c r="P5" i="1"/>
  <c r="Q5" i="1" s="1"/>
  <c r="P6" i="1"/>
  <c r="Q6" i="1" s="1"/>
  <c r="C3" i="4"/>
  <c r="I27" i="1"/>
  <c r="C3" i="3"/>
  <c r="P46" i="1"/>
  <c r="Q46" i="1" s="1"/>
  <c r="P45" i="1"/>
  <c r="Q45" i="1" s="1"/>
  <c r="P44" i="1"/>
  <c r="Q44" i="1" s="1"/>
  <c r="P43" i="1"/>
  <c r="P42" i="1"/>
  <c r="Q42" i="1" s="1"/>
  <c r="P38" i="1"/>
  <c r="Q38" i="1" s="1"/>
  <c r="P37" i="1"/>
  <c r="Q37" i="1" s="1"/>
  <c r="P36" i="1"/>
  <c r="Q36" i="1" s="1"/>
  <c r="P35" i="1"/>
  <c r="Q35" i="1" s="1"/>
  <c r="P34" i="1"/>
  <c r="Q34" i="1" s="1"/>
  <c r="P30" i="1"/>
  <c r="Q30" i="1" s="1"/>
  <c r="P29" i="1"/>
  <c r="Q29" i="1" s="1"/>
  <c r="P28" i="1"/>
  <c r="Q28" i="1" s="1"/>
  <c r="P27" i="1"/>
  <c r="P26" i="1"/>
  <c r="Q26" i="1" s="1"/>
  <c r="P22" i="1"/>
  <c r="Q22" i="1" s="1"/>
  <c r="P21" i="1"/>
  <c r="Q21" i="1" s="1"/>
  <c r="P20" i="1"/>
  <c r="Q20" i="1" s="1"/>
  <c r="P19" i="1"/>
  <c r="P18" i="1"/>
  <c r="Q18" i="1" s="1"/>
  <c r="P14" i="1"/>
  <c r="Q14" i="1" s="1"/>
  <c r="P13" i="1"/>
  <c r="Q13" i="1" s="1"/>
  <c r="P12" i="1"/>
  <c r="Q12" i="1" s="1"/>
  <c r="P11" i="1"/>
  <c r="Q11" i="1" s="1"/>
  <c r="P10" i="1"/>
  <c r="Q10" i="1" s="1"/>
  <c r="J47" i="1"/>
  <c r="H47" i="1"/>
  <c r="G47" i="1"/>
  <c r="D47" i="1"/>
  <c r="C47" i="1"/>
  <c r="I46" i="1"/>
  <c r="F46" i="1"/>
  <c r="K46" i="1" s="1"/>
  <c r="I45" i="1"/>
  <c r="F45" i="1"/>
  <c r="K45" i="1" s="1"/>
  <c r="I44" i="1"/>
  <c r="F44" i="1"/>
  <c r="I43" i="1"/>
  <c r="I42" i="1"/>
  <c r="J39" i="1"/>
  <c r="H39" i="1"/>
  <c r="G39" i="1"/>
  <c r="E39" i="1"/>
  <c r="D39" i="1"/>
  <c r="C39" i="1"/>
  <c r="I38" i="1"/>
  <c r="F38" i="1"/>
  <c r="K38" i="1" s="1"/>
  <c r="I37" i="1"/>
  <c r="F37" i="1"/>
  <c r="K37" i="1" s="1"/>
  <c r="I36" i="1"/>
  <c r="F36" i="1"/>
  <c r="I35" i="1"/>
  <c r="F35" i="1"/>
  <c r="K35" i="1" s="1"/>
  <c r="I34" i="1"/>
  <c r="F34" i="1"/>
  <c r="K34" i="1" s="1"/>
  <c r="J31" i="1"/>
  <c r="H31" i="1"/>
  <c r="G31" i="1"/>
  <c r="D31" i="1"/>
  <c r="C31" i="1"/>
  <c r="I30" i="1"/>
  <c r="I29" i="1"/>
  <c r="I28" i="1"/>
  <c r="F28" i="1"/>
  <c r="K28" i="1" s="1"/>
  <c r="F27" i="1"/>
  <c r="K27" i="1" s="1"/>
  <c r="I26" i="1"/>
  <c r="F26" i="1"/>
  <c r="J23" i="1"/>
  <c r="H23" i="1"/>
  <c r="G23" i="1"/>
  <c r="E23" i="1"/>
  <c r="D23" i="1"/>
  <c r="C23" i="1"/>
  <c r="I22" i="1"/>
  <c r="F22" i="1"/>
  <c r="K22" i="1" s="1"/>
  <c r="I21" i="1"/>
  <c r="F21" i="1"/>
  <c r="K21" i="1" s="1"/>
  <c r="I20" i="1"/>
  <c r="F20" i="1"/>
  <c r="K20" i="1" s="1"/>
  <c r="I19" i="1"/>
  <c r="I18" i="1"/>
  <c r="F18" i="1"/>
  <c r="J15" i="1"/>
  <c r="H15" i="1"/>
  <c r="G15" i="1"/>
  <c r="C15" i="1"/>
  <c r="I14" i="1"/>
  <c r="F14" i="1"/>
  <c r="K14" i="1" s="1"/>
  <c r="I13" i="1"/>
  <c r="F13" i="1"/>
  <c r="K13" i="1" s="1"/>
  <c r="I12" i="1"/>
  <c r="F12" i="1"/>
  <c r="K12" i="1" s="1"/>
  <c r="I11" i="1"/>
  <c r="I10" i="1"/>
  <c r="F10" i="1"/>
  <c r="O47" i="1"/>
  <c r="N47" i="1"/>
  <c r="M47" i="1"/>
  <c r="O39" i="1"/>
  <c r="N39" i="1"/>
  <c r="M39" i="1"/>
  <c r="O31" i="1"/>
  <c r="N31" i="1"/>
  <c r="M31" i="1"/>
  <c r="O23" i="1"/>
  <c r="N23" i="1"/>
  <c r="M23" i="1"/>
  <c r="O15" i="1"/>
  <c r="N15" i="1"/>
  <c r="M15" i="1"/>
  <c r="N7" i="1"/>
  <c r="M7" i="1"/>
  <c r="O7" i="1"/>
  <c r="G7" i="1"/>
  <c r="H7" i="1"/>
  <c r="J7" i="1"/>
  <c r="C7" i="1"/>
  <c r="E48" i="2" l="1"/>
  <c r="F48" i="2"/>
  <c r="E40" i="2"/>
  <c r="I40" i="2"/>
  <c r="E32" i="2"/>
  <c r="K23" i="2"/>
  <c r="F15" i="2"/>
  <c r="E7" i="2"/>
  <c r="E31" i="1"/>
  <c r="F31" i="1"/>
  <c r="E15" i="1"/>
  <c r="F11" i="1"/>
  <c r="K11" i="1" s="1"/>
  <c r="I32" i="2"/>
  <c r="F32" i="2"/>
  <c r="F7" i="2"/>
  <c r="I7" i="2"/>
  <c r="I23" i="2"/>
  <c r="I48" i="2"/>
  <c r="F40" i="2"/>
  <c r="P48" i="2"/>
  <c r="P32" i="2"/>
  <c r="Q15" i="2"/>
  <c r="Q40" i="2"/>
  <c r="Q23" i="2"/>
  <c r="Q7" i="2"/>
  <c r="P40" i="2"/>
  <c r="Q48" i="2"/>
  <c r="K2" i="2"/>
  <c r="K7" i="2" s="1"/>
  <c r="K35" i="2"/>
  <c r="K40" i="2" s="1"/>
  <c r="K12" i="2"/>
  <c r="K15" i="2" s="1"/>
  <c r="K28" i="2"/>
  <c r="K32" i="2" s="1"/>
  <c r="P7" i="2"/>
  <c r="P23" i="2"/>
  <c r="Q26" i="2"/>
  <c r="Q32" i="2" s="1"/>
  <c r="K46" i="2"/>
  <c r="K48" i="2" s="1"/>
  <c r="P15" i="2"/>
  <c r="F23" i="2"/>
  <c r="P23" i="1"/>
  <c r="F39" i="1"/>
  <c r="P47" i="1"/>
  <c r="P39" i="1"/>
  <c r="P31" i="1"/>
  <c r="I47" i="1"/>
  <c r="E47" i="1"/>
  <c r="F47" i="1"/>
  <c r="I39" i="1"/>
  <c r="I31" i="1"/>
  <c r="I7" i="1"/>
  <c r="F23" i="1"/>
  <c r="I23" i="1"/>
  <c r="K18" i="1"/>
  <c r="K23" i="1" s="1"/>
  <c r="I15" i="1"/>
  <c r="Q43" i="1"/>
  <c r="Q47" i="1" s="1"/>
  <c r="Q39" i="1"/>
  <c r="Q27" i="1"/>
  <c r="Q31" i="1" s="1"/>
  <c r="Q19" i="1"/>
  <c r="Q23" i="1" s="1"/>
  <c r="P15" i="1"/>
  <c r="Q15" i="1"/>
  <c r="K44" i="1"/>
  <c r="K47" i="1" s="1"/>
  <c r="K36" i="1"/>
  <c r="K39" i="1" s="1"/>
  <c r="K26" i="1"/>
  <c r="K31" i="1" s="1"/>
  <c r="F15" i="1"/>
  <c r="K10" i="1"/>
  <c r="K15" i="1" s="1"/>
  <c r="D7" i="1"/>
  <c r="Q7" i="1"/>
  <c r="P7" i="1"/>
  <c r="K7" i="1" l="1"/>
  <c r="F7" i="1"/>
</calcChain>
</file>

<file path=xl/sharedStrings.xml><?xml version="1.0" encoding="utf-8"?>
<sst xmlns="http://schemas.openxmlformats.org/spreadsheetml/2006/main" count="257" uniqueCount="41">
  <si>
    <t>Control</t>
  </si>
  <si>
    <t>n=</t>
  </si>
  <si>
    <t>Count</t>
  </si>
  <si>
    <t>Area (pixels^2)</t>
  </si>
  <si>
    <t>Area (um^2)</t>
  </si>
  <si>
    <t>Area (mm^2)</t>
  </si>
  <si>
    <t>Total_Pit_Area (um^2)</t>
  </si>
  <si>
    <t>Average_Size (um^2)</t>
  </si>
  <si>
    <t>Average_Size (mm^2)</t>
  </si>
  <si>
    <t>% Area</t>
  </si>
  <si>
    <t>Pit Frequency (pits/mm squared)</t>
  </si>
  <si>
    <t>Image</t>
  </si>
  <si>
    <t>Size Width (μm)</t>
  </si>
  <si>
    <t>Size Height (μm)</t>
  </si>
  <si>
    <t>Depth Of Measured Pit (μm)</t>
  </si>
  <si>
    <t>Depth (mm)</t>
  </si>
  <si>
    <t>Pitting Rate (mm/y)</t>
  </si>
  <si>
    <t>Pit</t>
  </si>
  <si>
    <t>20x</t>
  </si>
  <si>
    <t>AR_1</t>
  </si>
  <si>
    <t>AR_2</t>
  </si>
  <si>
    <t>AR_3</t>
  </si>
  <si>
    <r>
      <t xml:space="preserve">NB: </t>
    </r>
    <r>
      <rPr>
        <sz val="12"/>
        <color theme="1"/>
        <rFont val="Calibri"/>
        <family val="2"/>
        <scheme val="minor"/>
      </rPr>
      <t>Pit</t>
    </r>
  </si>
  <si>
    <t>Depth &gt; ca. 5 um</t>
  </si>
  <si>
    <t>Area &gt; 650 um^2</t>
  </si>
  <si>
    <t>96 dpi</t>
  </si>
  <si>
    <t>1 px = 0.264583333 mm</t>
  </si>
  <si>
    <t>264.583333 um</t>
  </si>
  <si>
    <t>2.26 pixels per um</t>
  </si>
  <si>
    <t>To convert pixel^2 to um^2</t>
  </si>
  <si>
    <t>Multiply by</t>
  </si>
  <si>
    <t>Test</t>
  </si>
  <si>
    <t>AR_4</t>
  </si>
  <si>
    <t>AR_5</t>
  </si>
  <si>
    <t>AR_6</t>
  </si>
  <si>
    <t>Pit 2</t>
  </si>
  <si>
    <t>Langstone+Glut_20x_Control_Day28_AR_1_3D Image_Pit_Roughness</t>
  </si>
  <si>
    <t>Langstone+Glut_20x_Control_Day28_AR_2_3D Image_Pit_Roughness</t>
  </si>
  <si>
    <t>Langstone+Glut_20x_Control_Day28_AR_4_3D Image_Pit_Roughness</t>
  </si>
  <si>
    <t>Langstone+Glut_20x_Test_Day28_AR_2_3D Image_Pit_Roughness</t>
  </si>
  <si>
    <t>Langstone+Glut_20x_Test_Day28_AR_3_3D Image_Pit_Roughness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</si>
</sst>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%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5" xfId="0" applyFill="1" applyBorder="1"/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12" xfId="0" applyBorder="1" applyAlignment="1">
      <alignment horizontal="center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E6CC-D677-4AC6-A035-4DF336C672F1}">
  <dimension ref="A1:Q59"/>
  <sheetViews>
    <sheetView topLeftCell="A18" zoomScaleNormal="100" workbookViewId="0">
      <selection activeCell="I49" sqref="I49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28" t="s">
        <v>19</v>
      </c>
      <c r="B2" s="7">
        <v>1</v>
      </c>
      <c r="C2">
        <v>0</v>
      </c>
      <c r="D2">
        <f>1601*1222</f>
        <v>1956422</v>
      </c>
      <c r="E2">
        <f>704.277*537.555</f>
        <v>378587.62273499998</v>
      </c>
      <c r="F2">
        <f>E2/1000000</f>
        <v>0.37858762273499996</v>
      </c>
      <c r="G2">
        <v>0</v>
      </c>
      <c r="H2">
        <v>0</v>
      </c>
      <c r="I2">
        <f>H2/1000000</f>
        <v>0</v>
      </c>
      <c r="J2">
        <v>0</v>
      </c>
      <c r="K2">
        <f>C2/F2</f>
        <v>0</v>
      </c>
      <c r="L2" s="5">
        <v>3</v>
      </c>
      <c r="O2">
        <v>4.42</v>
      </c>
      <c r="P2">
        <f>O2/1000</f>
        <v>4.4200000000000003E-3</v>
      </c>
      <c r="Q2">
        <f>(P2*365)/28</f>
        <v>5.7617857142857151E-2</v>
      </c>
    </row>
    <row r="3" spans="1:17" ht="15.75" thickBot="1" x14ac:dyDescent="0.3">
      <c r="A3" s="29"/>
      <c r="B3" s="7">
        <v>2</v>
      </c>
      <c r="C3">
        <v>0</v>
      </c>
      <c r="D3">
        <f>1614*1224</f>
        <v>1975536</v>
      </c>
      <c r="E3">
        <f>709.995*538.435</f>
        <v>382286.15782499994</v>
      </c>
      <c r="F3">
        <f t="shared" ref="F3:F6" si="0">E3/1000000</f>
        <v>0.38228615782499992</v>
      </c>
      <c r="G3">
        <v>0</v>
      </c>
      <c r="H3">
        <v>0</v>
      </c>
      <c r="I3">
        <f t="shared" ref="I3:I6" si="1">H3/1000000</f>
        <v>0</v>
      </c>
      <c r="J3">
        <v>0</v>
      </c>
      <c r="K3">
        <f>C3/F3</f>
        <v>0</v>
      </c>
      <c r="L3" s="5">
        <v>6</v>
      </c>
      <c r="O3">
        <v>3.9009999999999998</v>
      </c>
      <c r="P3">
        <f t="shared" ref="P3:P6" si="2">O3/1000</f>
        <v>3.901E-3</v>
      </c>
      <c r="Q3">
        <f t="shared" ref="Q3:Q6" si="3">(P3*365)/28</f>
        <v>5.0852321428571427E-2</v>
      </c>
    </row>
    <row r="4" spans="1:17" ht="15.75" thickBot="1" x14ac:dyDescent="0.3">
      <c r="A4" s="29"/>
      <c r="B4" s="7">
        <v>3</v>
      </c>
      <c r="C4">
        <v>0</v>
      </c>
      <c r="D4">
        <f>1586*1148</f>
        <v>1820728</v>
      </c>
      <c r="E4">
        <f>701.77*507.96</f>
        <v>356471.08919999999</v>
      </c>
      <c r="F4">
        <f t="shared" si="0"/>
        <v>0.35647108919999998</v>
      </c>
      <c r="G4">
        <v>0</v>
      </c>
      <c r="H4">
        <v>0</v>
      </c>
      <c r="I4">
        <f t="shared" si="1"/>
        <v>0</v>
      </c>
      <c r="J4">
        <v>0</v>
      </c>
      <c r="K4">
        <f>C4/F4</f>
        <v>0</v>
      </c>
      <c r="L4" s="5">
        <v>9</v>
      </c>
      <c r="O4">
        <v>23.012</v>
      </c>
      <c r="P4">
        <f t="shared" si="2"/>
        <v>2.3012000000000001E-2</v>
      </c>
      <c r="Q4">
        <f t="shared" si="3"/>
        <v>0.29997785714285718</v>
      </c>
    </row>
    <row r="5" spans="1:17" ht="15.75" thickBot="1" x14ac:dyDescent="0.3">
      <c r="A5" s="29"/>
      <c r="B5" s="7">
        <v>4</v>
      </c>
      <c r="C5">
        <v>0</v>
      </c>
      <c r="D5">
        <f>1614*1223</f>
        <v>1973922</v>
      </c>
      <c r="E5">
        <f>709.995*537.995</f>
        <v>381973.76002500003</v>
      </c>
      <c r="F5">
        <f t="shared" si="0"/>
        <v>0.381973760025</v>
      </c>
      <c r="G5">
        <v>0</v>
      </c>
      <c r="H5">
        <v>0</v>
      </c>
      <c r="I5">
        <f t="shared" si="1"/>
        <v>0</v>
      </c>
      <c r="J5">
        <v>0</v>
      </c>
      <c r="K5">
        <f>C5/F5</f>
        <v>0</v>
      </c>
      <c r="L5" s="5">
        <v>12</v>
      </c>
      <c r="O5">
        <v>4.6589999999999998</v>
      </c>
      <c r="P5">
        <f t="shared" si="2"/>
        <v>4.6589999999999999E-3</v>
      </c>
      <c r="Q5">
        <f t="shared" si="3"/>
        <v>6.0733392857142854E-2</v>
      </c>
    </row>
    <row r="6" spans="1:17" ht="15.75" thickBot="1" x14ac:dyDescent="0.3">
      <c r="A6" s="30"/>
      <c r="B6" s="7">
        <v>5</v>
      </c>
      <c r="C6">
        <v>1</v>
      </c>
      <c r="D6">
        <f>1592*1191</f>
        <v>1896072</v>
      </c>
      <c r="E6">
        <f>704.42*526.99</f>
        <v>371222.29579999996</v>
      </c>
      <c r="F6">
        <f t="shared" si="0"/>
        <v>0.37122229579999999</v>
      </c>
      <c r="G6">
        <v>695.82600000000002</v>
      </c>
      <c r="H6">
        <v>695.82600000000002</v>
      </c>
      <c r="I6">
        <f t="shared" si="1"/>
        <v>6.9582599999999997E-4</v>
      </c>
      <c r="J6">
        <v>0.187</v>
      </c>
      <c r="K6">
        <f>C6/F6</f>
        <v>2.6938037163014603</v>
      </c>
      <c r="L6" s="5" t="s">
        <v>17</v>
      </c>
      <c r="O6">
        <v>33.055999999999997</v>
      </c>
      <c r="P6">
        <f t="shared" si="2"/>
        <v>3.3055999999999995E-2</v>
      </c>
      <c r="Q6">
        <f t="shared" si="3"/>
        <v>0.43090857142857136</v>
      </c>
    </row>
    <row r="7" spans="1:17" ht="15.75" thickBot="1" x14ac:dyDescent="0.3">
      <c r="A7" s="7" t="s">
        <v>18</v>
      </c>
      <c r="B7" s="4"/>
      <c r="C7" s="6">
        <f>AVERAGE(C2:C6)</f>
        <v>0.2</v>
      </c>
      <c r="D7" s="4">
        <f t="shared" ref="D7:H7" si="4">AVERAGE(D2:D6)</f>
        <v>1924536</v>
      </c>
      <c r="E7" s="4">
        <f t="shared" si="4"/>
        <v>374108.18511699996</v>
      </c>
      <c r="F7" s="4">
        <f>AVERAGE(F2:F6)</f>
        <v>0.37410818511699995</v>
      </c>
      <c r="G7" s="4">
        <f t="shared" si="4"/>
        <v>139.1652</v>
      </c>
      <c r="H7" s="4">
        <f t="shared" si="4"/>
        <v>139.1652</v>
      </c>
      <c r="I7" s="4">
        <f>AVERAGE(I2:I6)</f>
        <v>1.391652E-4</v>
      </c>
      <c r="J7" s="4">
        <f>AVERAGE(J2:J6)</f>
        <v>3.7400000000000003E-2</v>
      </c>
      <c r="K7" s="4">
        <f>AVERAGE(K2:K6)</f>
        <v>0.53876074326029211</v>
      </c>
      <c r="M7" s="4" t="e">
        <f t="shared" ref="M7" si="5">AVERAGE(M2:M6)</f>
        <v>#DIV/0!</v>
      </c>
      <c r="N7" s="4" t="e">
        <f t="shared" ref="N7" si="6">AVERAGE(N2:N6)</f>
        <v>#DIV/0!</v>
      </c>
      <c r="O7" s="4">
        <f t="shared" ref="O7" si="7">AVERAGE(O2:O6)</f>
        <v>13.8096</v>
      </c>
      <c r="P7" s="4">
        <f t="shared" ref="P7" si="8">AVERAGE(P2:P6)</f>
        <v>1.38096E-2</v>
      </c>
      <c r="Q7" s="4">
        <f t="shared" ref="Q7" si="9">AVERAGE(Q2:Q6)</f>
        <v>0.18001800000000001</v>
      </c>
    </row>
    <row r="8" spans="1:17" ht="15.75" thickBot="1" x14ac:dyDescent="0.3"/>
    <row r="9" spans="1:17" ht="15.75" thickBot="1" x14ac:dyDescent="0.3">
      <c r="A9" s="7" t="s">
        <v>0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28" t="s">
        <v>20</v>
      </c>
      <c r="B10" s="7">
        <v>1</v>
      </c>
      <c r="C10">
        <v>0</v>
      </c>
      <c r="D10">
        <f>1615*1224</f>
        <v>1976760</v>
      </c>
      <c r="E10">
        <f>710.435*538.435</f>
        <v>382523.06922499993</v>
      </c>
      <c r="F10">
        <f>E10/1000000</f>
        <v>0.3825230692249999</v>
      </c>
      <c r="G10">
        <v>0</v>
      </c>
      <c r="H10">
        <v>0</v>
      </c>
      <c r="I10">
        <f>H10/1000000</f>
        <v>0</v>
      </c>
      <c r="J10">
        <v>0</v>
      </c>
      <c r="K10">
        <f>C10/F10</f>
        <v>0</v>
      </c>
      <c r="O10">
        <v>5.0090000000000003</v>
      </c>
      <c r="P10">
        <f>O10/1000</f>
        <v>5.0090000000000004E-3</v>
      </c>
      <c r="Q10">
        <f>(P10*365)/28</f>
        <v>6.5295892857142865E-2</v>
      </c>
    </row>
    <row r="11" spans="1:17" ht="15.75" thickBot="1" x14ac:dyDescent="0.3">
      <c r="A11" s="29"/>
      <c r="B11" s="7">
        <v>2</v>
      </c>
      <c r="C11">
        <v>0</v>
      </c>
      <c r="D11">
        <f>1613*1221</f>
        <v>1969473</v>
      </c>
      <c r="E11">
        <f>709.555*537.115</f>
        <v>381112.63382499997</v>
      </c>
      <c r="F11">
        <f t="shared" ref="F11:F14" si="10">E11/1000000</f>
        <v>0.38111263382499999</v>
      </c>
      <c r="G11">
        <v>0</v>
      </c>
      <c r="H11">
        <v>0</v>
      </c>
      <c r="I11">
        <f t="shared" ref="I11:I14" si="11">H11/1000000</f>
        <v>0</v>
      </c>
      <c r="J11">
        <v>0</v>
      </c>
      <c r="K11">
        <f>C11/F11</f>
        <v>0</v>
      </c>
      <c r="O11">
        <v>5.5110000000000001</v>
      </c>
      <c r="P11">
        <f t="shared" ref="P11:P14" si="12">O11/1000</f>
        <v>5.5110000000000003E-3</v>
      </c>
      <c r="Q11">
        <f t="shared" ref="Q11:Q14" si="13">(P11*365)/28</f>
        <v>7.183982142857144E-2</v>
      </c>
    </row>
    <row r="12" spans="1:17" ht="15.75" thickBot="1" x14ac:dyDescent="0.3">
      <c r="A12" s="29"/>
      <c r="B12" s="7">
        <v>3</v>
      </c>
      <c r="C12">
        <v>0</v>
      </c>
      <c r="D12">
        <f>1609*1220</f>
        <v>1962980</v>
      </c>
      <c r="E12">
        <f>707.796*536.675</f>
        <v>379856.41830000002</v>
      </c>
      <c r="F12">
        <f t="shared" si="10"/>
        <v>0.3798564183</v>
      </c>
      <c r="G12">
        <v>0</v>
      </c>
      <c r="H12">
        <v>0</v>
      </c>
      <c r="I12">
        <f t="shared" si="11"/>
        <v>0</v>
      </c>
      <c r="J12">
        <v>0</v>
      </c>
      <c r="K12">
        <f>C12/F12</f>
        <v>0</v>
      </c>
      <c r="O12">
        <v>4.5839999999999996</v>
      </c>
      <c r="P12">
        <f t="shared" si="12"/>
        <v>4.5839999999999995E-3</v>
      </c>
      <c r="Q12">
        <f t="shared" si="13"/>
        <v>5.975571428571428E-2</v>
      </c>
    </row>
    <row r="13" spans="1:17" ht="15.75" thickBot="1" x14ac:dyDescent="0.3">
      <c r="A13" s="29"/>
      <c r="B13" s="7">
        <v>4</v>
      </c>
      <c r="C13">
        <v>0</v>
      </c>
      <c r="D13">
        <f>1609*1221</f>
        <v>1964589</v>
      </c>
      <c r="E13">
        <f>707.796*537.115</f>
        <v>380167.84854000004</v>
      </c>
      <c r="F13">
        <f t="shared" si="10"/>
        <v>0.38016784854000002</v>
      </c>
      <c r="G13">
        <v>0</v>
      </c>
      <c r="H13">
        <v>0</v>
      </c>
      <c r="I13">
        <f t="shared" si="11"/>
        <v>0</v>
      </c>
      <c r="J13">
        <v>0</v>
      </c>
      <c r="K13">
        <f>C13/F13</f>
        <v>0</v>
      </c>
      <c r="O13">
        <v>3.8220000000000001</v>
      </c>
      <c r="P13">
        <f t="shared" si="12"/>
        <v>3.8219999999999999E-3</v>
      </c>
      <c r="Q13">
        <f t="shared" si="13"/>
        <v>4.9822499999999999E-2</v>
      </c>
    </row>
    <row r="14" spans="1:17" ht="15.75" thickBot="1" x14ac:dyDescent="0.3">
      <c r="A14" s="30"/>
      <c r="B14" s="7">
        <v>5</v>
      </c>
      <c r="C14">
        <v>10</v>
      </c>
      <c r="D14">
        <f>1612*1218</f>
        <v>1963416</v>
      </c>
      <c r="E14">
        <f>713.27*538.94</f>
        <v>384409.73380000005</v>
      </c>
      <c r="F14">
        <f t="shared" si="10"/>
        <v>0.38440973380000004</v>
      </c>
      <c r="G14">
        <v>17190.656999999999</v>
      </c>
      <c r="H14">
        <v>1719.066</v>
      </c>
      <c r="I14">
        <f t="shared" si="11"/>
        <v>1.719066E-3</v>
      </c>
      <c r="J14">
        <v>4.4720000000000004</v>
      </c>
      <c r="K14">
        <f>C14/F14</f>
        <v>26.013909432383887</v>
      </c>
      <c r="O14">
        <v>9.2420000000000009</v>
      </c>
      <c r="P14">
        <f t="shared" si="12"/>
        <v>9.2420000000000002E-3</v>
      </c>
      <c r="Q14">
        <f t="shared" si="13"/>
        <v>0.12047607142857143</v>
      </c>
    </row>
    <row r="15" spans="1:17" ht="15.75" thickBot="1" x14ac:dyDescent="0.3">
      <c r="A15" s="7" t="s">
        <v>18</v>
      </c>
      <c r="B15" s="4"/>
      <c r="C15" s="6">
        <f>AVERAGE(C10:C14)</f>
        <v>2</v>
      </c>
      <c r="D15" s="4">
        <f t="shared" ref="D15" si="14">AVERAGE(D10:D14)</f>
        <v>1967443.6</v>
      </c>
      <c r="E15" s="4">
        <f t="shared" ref="E15" si="15">AVERAGE(E10:E14)</f>
        <v>381613.94073799998</v>
      </c>
      <c r="F15" s="4">
        <f>AVERAGE(F10:F14)</f>
        <v>0.38161394073799998</v>
      </c>
      <c r="G15" s="4">
        <f t="shared" ref="G15" si="16">AVERAGE(G10:G14)</f>
        <v>3438.1313999999998</v>
      </c>
      <c r="H15" s="4">
        <f t="shared" ref="H15" si="17">AVERAGE(H10:H14)</f>
        <v>343.81319999999999</v>
      </c>
      <c r="I15" s="4">
        <f>AVERAGE(I10:I14)</f>
        <v>3.4381320000000001E-4</v>
      </c>
      <c r="J15" s="4">
        <f>AVERAGE(J10:J14)</f>
        <v>0.89440000000000008</v>
      </c>
      <c r="K15" s="4">
        <f>AVERAGE(K10:K14)</f>
        <v>5.2027818864767772</v>
      </c>
      <c r="M15" s="4" t="e">
        <f t="shared" ref="M15" si="18">AVERAGE(M10:M14)</f>
        <v>#DIV/0!</v>
      </c>
      <c r="N15" s="4" t="e">
        <f t="shared" ref="N15" si="19">AVERAGE(N10:N14)</f>
        <v>#DIV/0!</v>
      </c>
      <c r="O15" s="4">
        <f t="shared" ref="O15" si="20">AVERAGE(O10:O14)</f>
        <v>5.6335999999999995</v>
      </c>
      <c r="P15" s="4">
        <f t="shared" ref="P15" si="21">AVERAGE(P10:P14)</f>
        <v>5.6336000000000008E-3</v>
      </c>
      <c r="Q15" s="4">
        <f t="shared" ref="Q15" si="22">AVERAGE(Q10:Q14)</f>
        <v>7.3438000000000003E-2</v>
      </c>
    </row>
    <row r="16" spans="1:17" ht="15.75" thickBot="1" x14ac:dyDescent="0.3"/>
    <row r="17" spans="1:17" ht="15.75" thickBot="1" x14ac:dyDescent="0.3">
      <c r="A17" s="7" t="s">
        <v>0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28" t="s">
        <v>21</v>
      </c>
      <c r="B18" s="7">
        <v>1</v>
      </c>
      <c r="C18">
        <v>0</v>
      </c>
      <c r="D18">
        <f>1591*1223</f>
        <v>1945793</v>
      </c>
      <c r="E18">
        <f>699.878*537.995</f>
        <v>376530.86461000005</v>
      </c>
      <c r="F18">
        <f>E18/1000000</f>
        <v>0.37653086461000007</v>
      </c>
      <c r="G18">
        <v>0</v>
      </c>
      <c r="H18">
        <v>0</v>
      </c>
      <c r="I18">
        <f>H18/1000000</f>
        <v>0</v>
      </c>
      <c r="J18">
        <v>0</v>
      </c>
      <c r="K18">
        <f>C18/F18</f>
        <v>0</v>
      </c>
      <c r="O18">
        <v>4.8579999999999997</v>
      </c>
      <c r="P18">
        <f>O18/1000</f>
        <v>4.8579999999999995E-3</v>
      </c>
      <c r="Q18">
        <f>(P18*365)/28</f>
        <v>6.3327499999999995E-2</v>
      </c>
    </row>
    <row r="19" spans="1:17" ht="15.75" thickBot="1" x14ac:dyDescent="0.3">
      <c r="A19" s="29"/>
      <c r="B19" s="7">
        <v>2</v>
      </c>
      <c r="C19">
        <v>0</v>
      </c>
      <c r="D19">
        <f>1616*1225</f>
        <v>1979600</v>
      </c>
      <c r="E19">
        <f>710.875*538.875</f>
        <v>383072.765625</v>
      </c>
      <c r="F19">
        <f t="shared" ref="F19:F22" si="23">E19/1000000</f>
        <v>0.38307276562499998</v>
      </c>
      <c r="G19">
        <v>0</v>
      </c>
      <c r="H19">
        <v>0</v>
      </c>
      <c r="I19">
        <f t="shared" ref="I19:I22" si="24">H19/1000000</f>
        <v>0</v>
      </c>
      <c r="J19">
        <v>0</v>
      </c>
      <c r="K19">
        <f>C19/F19</f>
        <v>0</v>
      </c>
      <c r="O19">
        <v>5.59</v>
      </c>
      <c r="P19">
        <f t="shared" ref="P19:P22" si="25">O19/1000</f>
        <v>5.5899999999999995E-3</v>
      </c>
      <c r="Q19">
        <f t="shared" ref="Q19:Q22" si="26">(P19*365)/28</f>
        <v>7.2869642857142841E-2</v>
      </c>
    </row>
    <row r="20" spans="1:17" ht="15.75" thickBot="1" x14ac:dyDescent="0.3">
      <c r="A20" s="29"/>
      <c r="B20" s="7">
        <v>3</v>
      </c>
      <c r="C20">
        <v>0</v>
      </c>
      <c r="D20">
        <f>1618*1227</f>
        <v>1985286</v>
      </c>
      <c r="E20">
        <f>711.755*539.755</f>
        <v>384173.32002500002</v>
      </c>
      <c r="F20">
        <f t="shared" si="23"/>
        <v>0.38417332002500004</v>
      </c>
      <c r="G20">
        <v>0</v>
      </c>
      <c r="H20">
        <v>0</v>
      </c>
      <c r="I20">
        <f t="shared" si="24"/>
        <v>0</v>
      </c>
      <c r="J20">
        <v>0</v>
      </c>
      <c r="K20">
        <f>C20/F20</f>
        <v>0</v>
      </c>
      <c r="O20">
        <v>5.0220000000000002</v>
      </c>
      <c r="P20">
        <f t="shared" si="25"/>
        <v>5.0220000000000004E-3</v>
      </c>
      <c r="Q20">
        <f t="shared" si="26"/>
        <v>6.5465357142857145E-2</v>
      </c>
    </row>
    <row r="21" spans="1:17" ht="15.75" thickBot="1" x14ac:dyDescent="0.3">
      <c r="A21" s="29"/>
      <c r="B21" s="7">
        <v>4</v>
      </c>
      <c r="C21">
        <v>0</v>
      </c>
      <c r="D21">
        <f>1615*1225</f>
        <v>1978375</v>
      </c>
      <c r="E21">
        <f>710.435*538.875</f>
        <v>382835.66062499996</v>
      </c>
      <c r="F21">
        <f t="shared" si="23"/>
        <v>0.38283566062499996</v>
      </c>
      <c r="G21">
        <v>0</v>
      </c>
      <c r="H21">
        <v>0</v>
      </c>
      <c r="I21">
        <f t="shared" si="24"/>
        <v>0</v>
      </c>
      <c r="J21">
        <v>0</v>
      </c>
      <c r="K21">
        <f>C21/F21</f>
        <v>0</v>
      </c>
      <c r="O21">
        <v>4.1749999999999998</v>
      </c>
      <c r="P21">
        <f t="shared" si="25"/>
        <v>4.1749999999999999E-3</v>
      </c>
      <c r="Q21">
        <f t="shared" si="26"/>
        <v>5.4424107142857135E-2</v>
      </c>
    </row>
    <row r="22" spans="1:17" ht="15.75" thickBot="1" x14ac:dyDescent="0.3">
      <c r="A22" s="30"/>
      <c r="B22" s="7">
        <v>5</v>
      </c>
      <c r="C22">
        <v>0</v>
      </c>
      <c r="D22">
        <f>1617*1226</f>
        <v>1982442</v>
      </c>
      <c r="E22">
        <f>711.315*539.315</f>
        <v>383622.84922500007</v>
      </c>
      <c r="F22">
        <f t="shared" si="23"/>
        <v>0.38362284922500006</v>
      </c>
      <c r="G22">
        <v>0</v>
      </c>
      <c r="H22">
        <v>0</v>
      </c>
      <c r="I22">
        <f t="shared" si="24"/>
        <v>0</v>
      </c>
      <c r="J22">
        <v>0</v>
      </c>
      <c r="K22">
        <f>C22/F22</f>
        <v>0</v>
      </c>
      <c r="O22">
        <v>4.3460000000000001</v>
      </c>
      <c r="P22">
        <f t="shared" si="25"/>
        <v>4.346E-3</v>
      </c>
      <c r="Q22">
        <f t="shared" si="26"/>
        <v>5.6653214285714286E-2</v>
      </c>
    </row>
    <row r="23" spans="1:17" ht="15.75" thickBot="1" x14ac:dyDescent="0.3">
      <c r="A23" s="7" t="s">
        <v>18</v>
      </c>
      <c r="B23" s="4"/>
      <c r="C23" s="6">
        <f>AVERAGE(C18:C22)</f>
        <v>0</v>
      </c>
      <c r="D23" s="4">
        <f t="shared" ref="D23" si="27">AVERAGE(D18:D22)</f>
        <v>1974299.2</v>
      </c>
      <c r="E23" s="4">
        <f t="shared" ref="E23" si="28">AVERAGE(E18:E22)</f>
        <v>382047.092022</v>
      </c>
      <c r="F23" s="4">
        <f>AVERAGE(F18:F22)</f>
        <v>0.38204709202199999</v>
      </c>
      <c r="G23" s="4">
        <f t="shared" ref="G23" si="29">AVERAGE(G18:G22)</f>
        <v>0</v>
      </c>
      <c r="H23" s="4">
        <f t="shared" ref="H23" si="30">AVERAGE(H18:H22)</f>
        <v>0</v>
      </c>
      <c r="I23" s="4">
        <f>AVERAGE(I18:I22)</f>
        <v>0</v>
      </c>
      <c r="J23" s="4">
        <f>AVERAGE(J18:J22)</f>
        <v>0</v>
      </c>
      <c r="K23" s="4">
        <f>AVERAGE(K18:K22)</f>
        <v>0</v>
      </c>
      <c r="M23" s="4" t="e">
        <f t="shared" ref="M23" si="31">AVERAGE(M18:M22)</f>
        <v>#DIV/0!</v>
      </c>
      <c r="N23" s="4" t="e">
        <f t="shared" ref="N23" si="32">AVERAGE(N18:N22)</f>
        <v>#DIV/0!</v>
      </c>
      <c r="O23" s="4">
        <f t="shared" ref="O23" si="33">AVERAGE(O18:O22)</f>
        <v>4.7981999999999996</v>
      </c>
      <c r="P23" s="4">
        <f t="shared" ref="P23" si="34">AVERAGE(P18:P22)</f>
        <v>4.7981999999999999E-3</v>
      </c>
      <c r="Q23" s="4">
        <f t="shared" ref="Q23" si="35">AVERAGE(Q18:Q22)</f>
        <v>6.2547964285714283E-2</v>
      </c>
    </row>
    <row r="24" spans="1:17" ht="15.75" thickBot="1" x14ac:dyDescent="0.3"/>
    <row r="25" spans="1:17" ht="15.75" thickBot="1" x14ac:dyDescent="0.3">
      <c r="A25" s="7" t="s">
        <v>0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28" t="s">
        <v>32</v>
      </c>
      <c r="B26" s="7">
        <v>1</v>
      </c>
      <c r="C26">
        <v>0</v>
      </c>
      <c r="D26">
        <f>1597*1227</f>
        <v>1959519</v>
      </c>
      <c r="E26">
        <f>702.517*539.755</f>
        <v>379187.06333500001</v>
      </c>
      <c r="F26">
        <f>E26/1000000</f>
        <v>0.37918706333500002</v>
      </c>
      <c r="G26">
        <v>0</v>
      </c>
      <c r="H26">
        <v>0</v>
      </c>
      <c r="I26">
        <f>H26/1000000</f>
        <v>0</v>
      </c>
      <c r="J26">
        <v>0</v>
      </c>
      <c r="K26">
        <f>C26/F26</f>
        <v>0</v>
      </c>
      <c r="O26">
        <v>4.5250000000000004</v>
      </c>
      <c r="P26">
        <f>O26/1000</f>
        <v>4.5250000000000004E-3</v>
      </c>
      <c r="Q26">
        <f>(P26*365)/28</f>
        <v>5.8986607142857146E-2</v>
      </c>
    </row>
    <row r="27" spans="1:17" ht="15.75" thickBot="1" x14ac:dyDescent="0.3">
      <c r="A27" s="29"/>
      <c r="B27" s="7">
        <v>2</v>
      </c>
      <c r="C27">
        <v>0</v>
      </c>
      <c r="D27">
        <f>1618*1227</f>
        <v>1985286</v>
      </c>
      <c r="E27">
        <f>711.755*539.755</f>
        <v>384173.32002500002</v>
      </c>
      <c r="F27">
        <f t="shared" ref="F27:F30" si="36">E27/1000000</f>
        <v>0.38417332002500004</v>
      </c>
      <c r="G27">
        <v>0</v>
      </c>
      <c r="H27">
        <v>0</v>
      </c>
      <c r="I27">
        <f t="shared" ref="I27:I30" si="37">H27/1000000</f>
        <v>0</v>
      </c>
      <c r="J27">
        <v>0</v>
      </c>
      <c r="K27">
        <f>C27/F27</f>
        <v>0</v>
      </c>
      <c r="O27">
        <v>5.3259999999999996</v>
      </c>
      <c r="P27">
        <f t="shared" ref="P27:P30" si="38">O27/1000</f>
        <v>5.326E-3</v>
      </c>
      <c r="Q27">
        <f t="shared" ref="Q27:Q30" si="39">(P27*365)/28</f>
        <v>6.9428214285714288E-2</v>
      </c>
    </row>
    <row r="28" spans="1:17" ht="15.75" thickBot="1" x14ac:dyDescent="0.3">
      <c r="A28" s="29"/>
      <c r="B28" s="7">
        <v>3</v>
      </c>
      <c r="C28">
        <v>0</v>
      </c>
      <c r="D28">
        <f>1614*1224</f>
        <v>1975536</v>
      </c>
      <c r="E28">
        <f>709.995*538.435</f>
        <v>382286.15782499994</v>
      </c>
      <c r="F28">
        <f t="shared" si="36"/>
        <v>0.38228615782499992</v>
      </c>
      <c r="G28">
        <v>0</v>
      </c>
      <c r="H28">
        <v>0</v>
      </c>
      <c r="I28">
        <f t="shared" si="37"/>
        <v>0</v>
      </c>
      <c r="J28">
        <v>0</v>
      </c>
      <c r="K28">
        <f>C28/F28</f>
        <v>0</v>
      </c>
      <c r="O28">
        <v>6.2949999999999999</v>
      </c>
      <c r="P28">
        <f t="shared" si="38"/>
        <v>6.2950000000000002E-3</v>
      </c>
      <c r="Q28">
        <f t="shared" si="39"/>
        <v>8.2059821428571419E-2</v>
      </c>
    </row>
    <row r="29" spans="1:17" ht="15.75" thickBot="1" x14ac:dyDescent="0.3">
      <c r="A29" s="29"/>
      <c r="B29" s="7">
        <v>4</v>
      </c>
      <c r="C29">
        <v>0</v>
      </c>
      <c r="D29">
        <f>1615*1225</f>
        <v>1978375</v>
      </c>
      <c r="E29">
        <f>10.435*538.875</f>
        <v>5623.1606250000004</v>
      </c>
      <c r="F29">
        <f t="shared" si="36"/>
        <v>5.6231606250000008E-3</v>
      </c>
      <c r="G29">
        <v>0</v>
      </c>
      <c r="H29">
        <v>0</v>
      </c>
      <c r="I29">
        <f t="shared" si="37"/>
        <v>0</v>
      </c>
      <c r="J29">
        <v>0</v>
      </c>
      <c r="K29">
        <f>C29/F29</f>
        <v>0</v>
      </c>
      <c r="O29">
        <v>6.0780000000000003</v>
      </c>
      <c r="P29">
        <f t="shared" si="38"/>
        <v>6.0780000000000001E-3</v>
      </c>
      <c r="Q29">
        <f t="shared" si="39"/>
        <v>7.9231071428571428E-2</v>
      </c>
    </row>
    <row r="30" spans="1:17" ht="15.75" thickBot="1" x14ac:dyDescent="0.3">
      <c r="A30" s="30"/>
      <c r="B30" s="7">
        <v>5</v>
      </c>
      <c r="C30">
        <v>1</v>
      </c>
      <c r="D30">
        <f>1608*1218</f>
        <v>1958544</v>
      </c>
      <c r="E30">
        <f>711.5*538.94</f>
        <v>383455.81000000006</v>
      </c>
      <c r="F30">
        <f t="shared" si="36"/>
        <v>0.38345581000000006</v>
      </c>
      <c r="G30">
        <v>4509.5540000000001</v>
      </c>
      <c r="H30">
        <v>4509.5540000000001</v>
      </c>
      <c r="I30">
        <f t="shared" si="37"/>
        <v>4.5095539999999998E-3</v>
      </c>
      <c r="J30">
        <v>1.1759999999999999</v>
      </c>
      <c r="K30">
        <f>C30/F30</f>
        <v>2.6078624287893821</v>
      </c>
      <c r="O30">
        <v>22.783999999999999</v>
      </c>
      <c r="P30">
        <f t="shared" si="38"/>
        <v>2.2783999999999999E-2</v>
      </c>
      <c r="Q30">
        <f t="shared" si="39"/>
        <v>0.29700571428571426</v>
      </c>
    </row>
    <row r="31" spans="1:17" ht="15.75" thickBot="1" x14ac:dyDescent="0.3">
      <c r="A31" s="7" t="s">
        <v>18</v>
      </c>
      <c r="B31" s="4"/>
      <c r="C31" s="6">
        <f>AVERAGE(C26:C30)</f>
        <v>0.2</v>
      </c>
      <c r="D31" s="4">
        <f t="shared" ref="D31" si="40">AVERAGE(D26:D30)</f>
        <v>1971452</v>
      </c>
      <c r="E31" s="4">
        <f t="shared" ref="E31" si="41">AVERAGE(E26:E30)</f>
        <v>306945.10236200003</v>
      </c>
      <c r="F31" s="4">
        <f>AVERAGE(F26:F30)</f>
        <v>0.30694510236199996</v>
      </c>
      <c r="G31" s="4">
        <f t="shared" ref="G31" si="42">AVERAGE(G26:G30)</f>
        <v>901.91079999999999</v>
      </c>
      <c r="H31" s="4">
        <f t="shared" ref="H31" si="43">AVERAGE(H26:H30)</f>
        <v>901.91079999999999</v>
      </c>
      <c r="I31" s="4">
        <f>AVERAGE(I26:I30)</f>
        <v>9.0191079999999996E-4</v>
      </c>
      <c r="J31" s="4">
        <f>AVERAGE(J26:J30)</f>
        <v>0.23519999999999999</v>
      </c>
      <c r="K31" s="4">
        <f>AVERAGE(K26:K30)</f>
        <v>0.5215724857578764</v>
      </c>
      <c r="M31" s="4" t="e">
        <f t="shared" ref="M31" si="44">AVERAGE(M26:M30)</f>
        <v>#DIV/0!</v>
      </c>
      <c r="N31" s="4" t="e">
        <f t="shared" ref="N31" si="45">AVERAGE(N26:N30)</f>
        <v>#DIV/0!</v>
      </c>
      <c r="O31" s="4">
        <f t="shared" ref="O31" si="46">AVERAGE(O26:O30)</f>
        <v>9.0015999999999998</v>
      </c>
      <c r="P31" s="4">
        <f t="shared" ref="P31" si="47">AVERAGE(P26:P30)</f>
        <v>9.0016000000000002E-3</v>
      </c>
      <c r="Q31" s="4">
        <f t="shared" ref="Q31" si="48">AVERAGE(Q26:Q30)</f>
        <v>0.1173422857142857</v>
      </c>
    </row>
    <row r="32" spans="1:17" ht="15.75" thickBot="1" x14ac:dyDescent="0.3"/>
    <row r="33" spans="1:17" ht="15.75" thickBot="1" x14ac:dyDescent="0.3">
      <c r="A33" s="7" t="s">
        <v>0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28" t="s">
        <v>33</v>
      </c>
      <c r="B34" s="7">
        <v>1</v>
      </c>
      <c r="C34">
        <v>0</v>
      </c>
      <c r="D34">
        <f>1616*1226</f>
        <v>1981216</v>
      </c>
      <c r="E34">
        <f>710.875*539*315</f>
        <v>120695911.875</v>
      </c>
      <c r="F34">
        <f>E34/1000000</f>
        <v>120.69591187499999</v>
      </c>
      <c r="G34">
        <v>0</v>
      </c>
      <c r="H34">
        <v>0</v>
      </c>
      <c r="I34">
        <f>H34/1000000</f>
        <v>0</v>
      </c>
      <c r="J34">
        <v>0</v>
      </c>
      <c r="K34">
        <f>C34/F34</f>
        <v>0</v>
      </c>
      <c r="O34">
        <v>6.7140000000000004</v>
      </c>
      <c r="P34">
        <f>O34/1000</f>
        <v>6.7140000000000003E-3</v>
      </c>
      <c r="Q34">
        <f>(P34*365)/28</f>
        <v>8.7521785714285719E-2</v>
      </c>
    </row>
    <row r="35" spans="1:17" ht="15.75" thickBot="1" x14ac:dyDescent="0.3">
      <c r="A35" s="29"/>
      <c r="B35" s="7">
        <v>2</v>
      </c>
      <c r="C35">
        <v>0</v>
      </c>
      <c r="D35">
        <f>1615*1226</f>
        <v>1979990</v>
      </c>
      <c r="E35">
        <f>714.6*542.48</f>
        <v>387656.20800000004</v>
      </c>
      <c r="F35">
        <f t="shared" ref="F35:F38" si="49">E35/1000000</f>
        <v>0.38765620800000006</v>
      </c>
      <c r="G35">
        <v>0</v>
      </c>
      <c r="H35">
        <v>0</v>
      </c>
      <c r="I35">
        <f t="shared" ref="I35:I38" si="50">H35/1000000</f>
        <v>0</v>
      </c>
      <c r="J35">
        <v>0</v>
      </c>
      <c r="K35">
        <f>C35/F35</f>
        <v>0</v>
      </c>
      <c r="O35">
        <v>19.297000000000001</v>
      </c>
      <c r="P35">
        <f t="shared" ref="P35:P38" si="51">O35/1000</f>
        <v>1.9297000000000002E-2</v>
      </c>
      <c r="Q35">
        <f t="shared" ref="Q35:Q38" si="52">(P35*365)/28</f>
        <v>0.25155017857142858</v>
      </c>
    </row>
    <row r="36" spans="1:17" ht="15.75" thickBot="1" x14ac:dyDescent="0.3">
      <c r="A36" s="29"/>
      <c r="B36" s="7">
        <v>3</v>
      </c>
      <c r="C36">
        <v>0</v>
      </c>
      <c r="D36">
        <f>1618*1228</f>
        <v>1986904</v>
      </c>
      <c r="E36">
        <f>711.755*540.195</f>
        <v>384486.49222500005</v>
      </c>
      <c r="F36">
        <f t="shared" si="49"/>
        <v>0.38448649222500003</v>
      </c>
      <c r="G36">
        <v>0</v>
      </c>
      <c r="H36">
        <v>0</v>
      </c>
      <c r="I36">
        <f t="shared" si="50"/>
        <v>0</v>
      </c>
      <c r="J36">
        <v>0</v>
      </c>
      <c r="K36">
        <f>C36/F36</f>
        <v>0</v>
      </c>
      <c r="O36">
        <v>5.9980000000000002</v>
      </c>
      <c r="P36">
        <f t="shared" si="51"/>
        <v>5.9979999999999999E-3</v>
      </c>
      <c r="Q36">
        <f t="shared" si="52"/>
        <v>7.8188214285714291E-2</v>
      </c>
    </row>
    <row r="37" spans="1:17" ht="15.75" thickBot="1" x14ac:dyDescent="0.3">
      <c r="A37" s="29"/>
      <c r="B37" s="7">
        <v>4</v>
      </c>
      <c r="C37">
        <v>0</v>
      </c>
      <c r="D37">
        <f>1615*1225</f>
        <v>1978375</v>
      </c>
      <c r="E37">
        <f>710.435*538.875</f>
        <v>382835.66062499996</v>
      </c>
      <c r="F37">
        <f t="shared" si="49"/>
        <v>0.38283566062499996</v>
      </c>
      <c r="G37">
        <v>0</v>
      </c>
      <c r="H37">
        <v>0</v>
      </c>
      <c r="I37">
        <f t="shared" si="50"/>
        <v>0</v>
      </c>
      <c r="J37">
        <v>0</v>
      </c>
      <c r="K37">
        <f>C37/F37</f>
        <v>0</v>
      </c>
      <c r="O37">
        <v>6.1719999999999997</v>
      </c>
      <c r="P37">
        <f t="shared" si="51"/>
        <v>6.1719999999999995E-3</v>
      </c>
      <c r="Q37">
        <f t="shared" si="52"/>
        <v>8.0456428571428568E-2</v>
      </c>
    </row>
    <row r="38" spans="1:17" ht="15.75" thickBot="1" x14ac:dyDescent="0.3">
      <c r="A38" s="30"/>
      <c r="B38" s="7">
        <v>5</v>
      </c>
      <c r="C38">
        <v>0</v>
      </c>
      <c r="D38">
        <f>1615*1226</f>
        <v>1979990</v>
      </c>
      <c r="E38">
        <f>710.435*539.315</f>
        <v>383148.25202499999</v>
      </c>
      <c r="F38">
        <f t="shared" si="49"/>
        <v>0.38314825202499997</v>
      </c>
      <c r="G38">
        <v>0</v>
      </c>
      <c r="H38">
        <v>0</v>
      </c>
      <c r="I38">
        <f t="shared" si="50"/>
        <v>0</v>
      </c>
      <c r="J38">
        <v>0</v>
      </c>
      <c r="K38">
        <f>C38/F38</f>
        <v>0</v>
      </c>
      <c r="O38">
        <v>5.6459999999999999</v>
      </c>
      <c r="P38">
        <f t="shared" si="51"/>
        <v>5.646E-3</v>
      </c>
      <c r="Q38">
        <f t="shared" si="52"/>
        <v>7.359964285714285E-2</v>
      </c>
    </row>
    <row r="39" spans="1:17" ht="15.75" thickBot="1" x14ac:dyDescent="0.3">
      <c r="A39" s="7" t="s">
        <v>18</v>
      </c>
      <c r="B39" s="4"/>
      <c r="C39" s="6">
        <f>AVERAGE(C34:C38)</f>
        <v>0</v>
      </c>
      <c r="D39" s="4">
        <f t="shared" ref="D39" si="53">AVERAGE(D34:D38)</f>
        <v>1981295</v>
      </c>
      <c r="E39" s="4">
        <f t="shared" ref="E39" si="54">AVERAGE(E34:E38)</f>
        <v>24446807.697574999</v>
      </c>
      <c r="F39" s="4">
        <f>AVERAGE(F34:F38)</f>
        <v>24.446807697574997</v>
      </c>
      <c r="G39" s="4">
        <f t="shared" ref="G39" si="55">AVERAGE(G34:G38)</f>
        <v>0</v>
      </c>
      <c r="H39" s="4">
        <f t="shared" ref="H39" si="56">AVERAGE(H34:H38)</f>
        <v>0</v>
      </c>
      <c r="I39" s="4">
        <f>AVERAGE(I34:I38)</f>
        <v>0</v>
      </c>
      <c r="J39" s="4">
        <f>AVERAGE(J34:J38)</f>
        <v>0</v>
      </c>
      <c r="K39" s="4">
        <f>AVERAGE(K34:K38)</f>
        <v>0</v>
      </c>
      <c r="M39" s="4" t="e">
        <f t="shared" ref="M39" si="57">AVERAGE(M34:M38)</f>
        <v>#DIV/0!</v>
      </c>
      <c r="N39" s="4" t="e">
        <f t="shared" ref="N39" si="58">AVERAGE(N34:N38)</f>
        <v>#DIV/0!</v>
      </c>
      <c r="O39" s="4">
        <f t="shared" ref="O39" si="59">AVERAGE(O34:O38)</f>
        <v>8.7653999999999996</v>
      </c>
      <c r="P39" s="4">
        <f t="shared" ref="P39" si="60">AVERAGE(P34:P38)</f>
        <v>8.7653999999999996E-3</v>
      </c>
      <c r="Q39" s="4">
        <f t="shared" ref="Q39" si="61">AVERAGE(Q34:Q38)</f>
        <v>0.11426325</v>
      </c>
    </row>
    <row r="40" spans="1:17" ht="15.75" thickBot="1" x14ac:dyDescent="0.3"/>
    <row r="41" spans="1:17" ht="15.75" thickBot="1" x14ac:dyDescent="0.3">
      <c r="A41" s="7" t="s">
        <v>0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28" t="s">
        <v>34</v>
      </c>
      <c r="B42" s="7">
        <v>1</v>
      </c>
      <c r="C42">
        <v>0</v>
      </c>
      <c r="D42">
        <f>1621*1229</f>
        <v>1992209</v>
      </c>
      <c r="E42">
        <f>713.075*540.635</f>
        <v>385513.30262500001</v>
      </c>
      <c r="F42">
        <f>E42/1000000</f>
        <v>0.385513302625</v>
      </c>
      <c r="G42">
        <v>0</v>
      </c>
      <c r="H42">
        <v>0</v>
      </c>
      <c r="I42">
        <f>H42/1000000</f>
        <v>0</v>
      </c>
      <c r="J42">
        <v>0</v>
      </c>
      <c r="K42">
        <f>C42/F42</f>
        <v>0</v>
      </c>
      <c r="O42">
        <v>4.32</v>
      </c>
      <c r="P42">
        <f>O42/1000</f>
        <v>4.3200000000000001E-3</v>
      </c>
      <c r="Q42">
        <f>(P42*365)/28</f>
        <v>5.6314285714285713E-2</v>
      </c>
    </row>
    <row r="43" spans="1:17" ht="15.75" thickBot="1" x14ac:dyDescent="0.3">
      <c r="A43" s="29"/>
      <c r="B43" s="7">
        <v>2</v>
      </c>
      <c r="C43">
        <v>0</v>
      </c>
      <c r="D43">
        <f>1614*1224</f>
        <v>1975536</v>
      </c>
      <c r="E43">
        <f>709.995*538.435</f>
        <v>382286.15782499994</v>
      </c>
      <c r="F43">
        <f t="shared" ref="F43:F46" si="62">E43/1000000</f>
        <v>0.38228615782499992</v>
      </c>
      <c r="G43">
        <v>0</v>
      </c>
      <c r="H43">
        <v>0</v>
      </c>
      <c r="I43">
        <f t="shared" ref="I43:I46" si="63">H43/1000000</f>
        <v>0</v>
      </c>
      <c r="J43">
        <v>0</v>
      </c>
      <c r="K43">
        <f>C43/F43</f>
        <v>0</v>
      </c>
      <c r="O43">
        <v>5.548</v>
      </c>
      <c r="P43">
        <f t="shared" ref="P43:P46" si="64">O43/1000</f>
        <v>5.548E-3</v>
      </c>
      <c r="Q43">
        <f t="shared" ref="Q43:Q46" si="65">(P43*365)/28</f>
        <v>7.2322142857142863E-2</v>
      </c>
    </row>
    <row r="44" spans="1:17" ht="15.75" thickBot="1" x14ac:dyDescent="0.3">
      <c r="A44" s="29"/>
      <c r="B44" s="7">
        <v>3</v>
      </c>
      <c r="C44">
        <v>0</v>
      </c>
      <c r="D44">
        <f>1620*1170</f>
        <v>1895400</v>
      </c>
      <c r="E44">
        <f>712.635*514.681</f>
        <v>366779.69443500001</v>
      </c>
      <c r="F44">
        <f t="shared" si="62"/>
        <v>0.36677969443500003</v>
      </c>
      <c r="G44">
        <v>0</v>
      </c>
      <c r="H44">
        <v>0</v>
      </c>
      <c r="I44">
        <f t="shared" si="63"/>
        <v>0</v>
      </c>
      <c r="J44">
        <v>0</v>
      </c>
      <c r="K44">
        <f>C44/F44</f>
        <v>0</v>
      </c>
      <c r="O44">
        <v>4.149</v>
      </c>
      <c r="P44">
        <f t="shared" si="64"/>
        <v>4.1489999999999999E-3</v>
      </c>
      <c r="Q44">
        <f t="shared" si="65"/>
        <v>5.4085178571428569E-2</v>
      </c>
    </row>
    <row r="45" spans="1:17" ht="15.75" thickBot="1" x14ac:dyDescent="0.3">
      <c r="A45" s="29"/>
      <c r="B45" s="7">
        <v>4</v>
      </c>
      <c r="C45">
        <v>0</v>
      </c>
      <c r="D45">
        <f>1620*1227</f>
        <v>1987740</v>
      </c>
      <c r="E45">
        <f>712.635*539.755</f>
        <v>384648.30442499998</v>
      </c>
      <c r="F45">
        <f t="shared" si="62"/>
        <v>0.38464830442499998</v>
      </c>
      <c r="G45">
        <v>0</v>
      </c>
      <c r="H45">
        <v>0</v>
      </c>
      <c r="I45">
        <f t="shared" si="63"/>
        <v>0</v>
      </c>
      <c r="J45">
        <v>0</v>
      </c>
      <c r="K45">
        <f>C45/F45</f>
        <v>0</v>
      </c>
      <c r="O45">
        <v>3.694</v>
      </c>
      <c r="P45">
        <f t="shared" si="64"/>
        <v>3.6939999999999998E-3</v>
      </c>
      <c r="Q45">
        <f t="shared" si="65"/>
        <v>4.815392857142857E-2</v>
      </c>
    </row>
    <row r="46" spans="1:17" ht="15.75" thickBot="1" x14ac:dyDescent="0.3">
      <c r="A46" s="30"/>
      <c r="B46" s="7">
        <v>5</v>
      </c>
      <c r="C46">
        <v>0</v>
      </c>
      <c r="D46">
        <f>1617*1224</f>
        <v>1979208</v>
      </c>
      <c r="E46">
        <f>711.315*538.435</f>
        <v>382996.89202500001</v>
      </c>
      <c r="F46">
        <f t="shared" si="62"/>
        <v>0.38299689202500004</v>
      </c>
      <c r="G46">
        <v>0</v>
      </c>
      <c r="H46">
        <v>0</v>
      </c>
      <c r="I46">
        <f t="shared" si="63"/>
        <v>0</v>
      </c>
      <c r="J46">
        <v>0</v>
      </c>
      <c r="K46">
        <f>C46/F46</f>
        <v>0</v>
      </c>
      <c r="O46">
        <v>4.1630000000000003</v>
      </c>
      <c r="P46">
        <f t="shared" si="64"/>
        <v>4.163E-3</v>
      </c>
      <c r="Q46">
        <f t="shared" si="65"/>
        <v>5.4267678571428571E-2</v>
      </c>
    </row>
    <row r="47" spans="1:17" ht="15.75" thickBot="1" x14ac:dyDescent="0.3">
      <c r="A47" s="7" t="s">
        <v>18</v>
      </c>
      <c r="B47" s="4"/>
      <c r="C47" s="6">
        <f>AVERAGE(C42:C46)</f>
        <v>0</v>
      </c>
      <c r="D47" s="4">
        <f t="shared" ref="D47" si="66">AVERAGE(D42:D46)</f>
        <v>1966018.6</v>
      </c>
      <c r="E47" s="4">
        <f t="shared" ref="E47" si="67">AVERAGE(E42:E46)</f>
        <v>380444.87026699993</v>
      </c>
      <c r="F47" s="4">
        <f>AVERAGE(F42:F46)</f>
        <v>0.38044487026699997</v>
      </c>
      <c r="G47" s="4">
        <f t="shared" ref="G47" si="68">AVERAGE(G42:G46)</f>
        <v>0</v>
      </c>
      <c r="H47" s="4">
        <f t="shared" ref="H47" si="69">AVERAGE(H42:H46)</f>
        <v>0</v>
      </c>
      <c r="I47" s="4">
        <f>AVERAGE(I42:I46)</f>
        <v>0</v>
      </c>
      <c r="J47" s="4">
        <f>AVERAGE(J42:J46)</f>
        <v>0</v>
      </c>
      <c r="K47" s="4">
        <f>AVERAGE(K42:K46)</f>
        <v>0</v>
      </c>
      <c r="M47" s="4" t="e">
        <f t="shared" ref="M47" si="70">AVERAGE(M42:M46)</f>
        <v>#DIV/0!</v>
      </c>
      <c r="N47" s="4" t="e">
        <f t="shared" ref="N47" si="71">AVERAGE(N42:N46)</f>
        <v>#DIV/0!</v>
      </c>
      <c r="O47" s="4">
        <f t="shared" ref="O47" si="72">AVERAGE(O42:O46)</f>
        <v>4.3747999999999996</v>
      </c>
      <c r="P47" s="4">
        <f t="shared" ref="P47" si="73">AVERAGE(P42:P46)</f>
        <v>4.3747999999999999E-3</v>
      </c>
      <c r="Q47" s="4">
        <f t="shared" ref="Q47" si="74">AVERAGE(Q42:Q46)</f>
        <v>5.7028642857142854E-2</v>
      </c>
    </row>
    <row r="48" spans="1:17" ht="15.75" thickBot="1" x14ac:dyDescent="0.3"/>
    <row r="49" spans="3:17" ht="16.5" thickBot="1" x14ac:dyDescent="0.3">
      <c r="C49" s="20" t="s">
        <v>22</v>
      </c>
      <c r="D49" s="21"/>
      <c r="E49" s="11"/>
      <c r="H49">
        <f>AVERAGE(H30,H14,H6)</f>
        <v>2308.1486666666665</v>
      </c>
      <c r="J49">
        <f>AVERAGE(J30,J14,J6)</f>
        <v>1.9450000000000003</v>
      </c>
      <c r="O49">
        <f>AVERAGE(O2:O6,O10:O14,O18:O22,O26:O30,O34:O38,O42:O46)</f>
        <v>7.7305333333333319</v>
      </c>
      <c r="Q49">
        <f>AVERAGE(Q2:Q6,Q10:Q14,Q18:Q22,Q26:Q30,Q34:Q38,Q42:Q46)</f>
        <v>0.10077302380952383</v>
      </c>
    </row>
    <row r="50" spans="3:17" x14ac:dyDescent="0.25">
      <c r="C50" s="22" t="s">
        <v>23</v>
      </c>
      <c r="D50" s="23"/>
      <c r="E50" s="5"/>
    </row>
    <row r="51" spans="3:17" ht="15.75" thickBot="1" x14ac:dyDescent="0.3">
      <c r="C51" s="24" t="s">
        <v>24</v>
      </c>
      <c r="D51" s="25"/>
      <c r="E51" s="5"/>
    </row>
    <row r="52" spans="3:17" x14ac:dyDescent="0.25">
      <c r="C52" s="18" t="s">
        <v>25</v>
      </c>
      <c r="D52" s="19"/>
      <c r="E52" s="5"/>
    </row>
    <row r="53" spans="3:17" x14ac:dyDescent="0.25">
      <c r="C53" s="26" t="s">
        <v>26</v>
      </c>
      <c r="D53" s="27"/>
      <c r="E53" s="5"/>
    </row>
    <row r="54" spans="3:17" ht="15.75" thickBot="1" x14ac:dyDescent="0.3">
      <c r="C54" s="16" t="s">
        <v>27</v>
      </c>
      <c r="D54" s="17"/>
      <c r="E54" s="5"/>
    </row>
    <row r="55" spans="3:17" ht="15.75" thickBot="1" x14ac:dyDescent="0.3">
      <c r="C55" s="18" t="s">
        <v>28</v>
      </c>
      <c r="D55" s="19"/>
      <c r="E55" s="5"/>
    </row>
    <row r="56" spans="3:17" ht="15.75" thickBot="1" x14ac:dyDescent="0.3">
      <c r="C56" s="18" t="s">
        <v>29</v>
      </c>
      <c r="D56" s="19"/>
      <c r="E56" s="5"/>
      <c r="G56" s="12"/>
      <c r="H56" s="12"/>
    </row>
    <row r="57" spans="3:17" ht="15.75" thickBot="1" x14ac:dyDescent="0.3">
      <c r="C57" s="9" t="s">
        <v>30</v>
      </c>
      <c r="D57" s="13">
        <v>0.19578576490285401</v>
      </c>
      <c r="E57" s="5"/>
    </row>
    <row r="58" spans="3:17" x14ac:dyDescent="0.25">
      <c r="C58" s="5"/>
      <c r="D58" s="5"/>
      <c r="E58" s="5"/>
    </row>
    <row r="59" spans="3:17" x14ac:dyDescent="0.25">
      <c r="C59" s="5"/>
      <c r="D59" s="5"/>
    </row>
  </sheetData>
  <mergeCells count="14">
    <mergeCell ref="A42:A46"/>
    <mergeCell ref="A2:A6"/>
    <mergeCell ref="A10:A14"/>
    <mergeCell ref="A18:A22"/>
    <mergeCell ref="A26:A30"/>
    <mergeCell ref="A34:A38"/>
    <mergeCell ref="C54:D54"/>
    <mergeCell ref="C55:D55"/>
    <mergeCell ref="C56:D56"/>
    <mergeCell ref="C49:D49"/>
    <mergeCell ref="C50:D50"/>
    <mergeCell ref="C51:D51"/>
    <mergeCell ref="C52:D52"/>
    <mergeCell ref="C53:D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1557-5CB7-4086-B083-667866EE185E}">
  <dimension ref="A1:J16"/>
  <sheetViews>
    <sheetView workbookViewId="0">
      <selection activeCell="A2" sqref="A2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10" ht="15.75" thickBot="1" x14ac:dyDescent="0.3">
      <c r="A1" s="1" t="s">
        <v>17</v>
      </c>
      <c r="B1" s="14" t="s">
        <v>4</v>
      </c>
      <c r="C1" s="1" t="s">
        <v>5</v>
      </c>
      <c r="D1" s="5"/>
    </row>
    <row r="2" spans="1:10" ht="16.5" thickBot="1" x14ac:dyDescent="0.3">
      <c r="A2" t="s">
        <v>36</v>
      </c>
      <c r="F2" s="20" t="s">
        <v>22</v>
      </c>
      <c r="G2" s="21"/>
    </row>
    <row r="3" spans="1:10" x14ac:dyDescent="0.25">
      <c r="A3">
        <v>1</v>
      </c>
      <c r="B3">
        <v>695.82600000000002</v>
      </c>
      <c r="C3">
        <f>B3/1000000</f>
        <v>6.9582599999999997E-4</v>
      </c>
      <c r="F3" s="22" t="s">
        <v>23</v>
      </c>
      <c r="G3" s="23"/>
      <c r="J3" s="5"/>
    </row>
    <row r="4" spans="1:10" ht="15.75" thickBot="1" x14ac:dyDescent="0.3">
      <c r="A4" t="s">
        <v>37</v>
      </c>
      <c r="F4" s="24" t="s">
        <v>24</v>
      </c>
      <c r="G4" s="25"/>
      <c r="H4" s="10"/>
    </row>
    <row r="5" spans="1:10" x14ac:dyDescent="0.25">
      <c r="A5">
        <v>1</v>
      </c>
      <c r="B5">
        <v>5790.9780000000001</v>
      </c>
      <c r="C5">
        <f t="shared" ref="C5:C16" si="0">B5/1000000</f>
        <v>5.7909780000000004E-3</v>
      </c>
      <c r="F5" s="5"/>
      <c r="G5" s="5"/>
    </row>
    <row r="6" spans="1:10" x14ac:dyDescent="0.25">
      <c r="A6">
        <v>2</v>
      </c>
      <c r="B6">
        <v>1145.7439999999999</v>
      </c>
      <c r="C6">
        <f t="shared" si="0"/>
        <v>1.145744E-3</v>
      </c>
      <c r="F6" s="5"/>
      <c r="G6" s="5"/>
    </row>
    <row r="7" spans="1:10" x14ac:dyDescent="0.25">
      <c r="A7">
        <v>3</v>
      </c>
      <c r="B7">
        <v>2374.1089999999999</v>
      </c>
      <c r="C7">
        <f t="shared" si="0"/>
        <v>2.3741090000000001E-3</v>
      </c>
    </row>
    <row r="8" spans="1:10" x14ac:dyDescent="0.25">
      <c r="A8">
        <v>4</v>
      </c>
      <c r="B8">
        <v>1435.704</v>
      </c>
      <c r="C8">
        <f t="shared" si="0"/>
        <v>1.4357039999999999E-3</v>
      </c>
    </row>
    <row r="9" spans="1:10" x14ac:dyDescent="0.25">
      <c r="A9">
        <v>5</v>
      </c>
      <c r="B9">
        <v>716.18799999999999</v>
      </c>
      <c r="C9">
        <f t="shared" si="0"/>
        <v>7.1618799999999998E-4</v>
      </c>
    </row>
    <row r="10" spans="1:10" x14ac:dyDescent="0.25">
      <c r="A10">
        <v>6</v>
      </c>
      <c r="B10">
        <v>1893.453</v>
      </c>
      <c r="C10">
        <f t="shared" si="0"/>
        <v>1.893453E-3</v>
      </c>
    </row>
    <row r="11" spans="1:10" x14ac:dyDescent="0.25">
      <c r="A11">
        <v>7</v>
      </c>
      <c r="B11">
        <v>1393.0219999999999</v>
      </c>
      <c r="C11">
        <f t="shared" si="0"/>
        <v>1.3930219999999998E-3</v>
      </c>
    </row>
    <row r="12" spans="1:10" x14ac:dyDescent="0.25">
      <c r="A12">
        <v>8</v>
      </c>
      <c r="B12">
        <v>707.57299999999998</v>
      </c>
      <c r="C12">
        <f t="shared" si="0"/>
        <v>7.0757299999999997E-4</v>
      </c>
    </row>
    <row r="13" spans="1:10" x14ac:dyDescent="0.25">
      <c r="A13">
        <v>9</v>
      </c>
      <c r="B13">
        <v>967.18600000000004</v>
      </c>
      <c r="C13">
        <f t="shared" si="0"/>
        <v>9.6718600000000009E-4</v>
      </c>
    </row>
    <row r="14" spans="1:10" x14ac:dyDescent="0.25">
      <c r="A14">
        <v>10</v>
      </c>
      <c r="B14">
        <v>766.70100000000002</v>
      </c>
      <c r="C14">
        <f t="shared" si="0"/>
        <v>7.6670100000000006E-4</v>
      </c>
    </row>
    <row r="15" spans="1:10" x14ac:dyDescent="0.25">
      <c r="A15" t="s">
        <v>38</v>
      </c>
    </row>
    <row r="16" spans="1:10" x14ac:dyDescent="0.25">
      <c r="A16">
        <v>1</v>
      </c>
      <c r="B16">
        <v>4509.5540000000001</v>
      </c>
      <c r="C16">
        <f t="shared" si="0"/>
        <v>4.5095539999999998E-3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457F8-A149-4AFD-9295-B5DF42205AA8}">
  <dimension ref="A1:Q60"/>
  <sheetViews>
    <sheetView tabSelected="1" topLeftCell="A21" workbookViewId="0">
      <selection activeCell="H51" sqref="H51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31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28" t="s">
        <v>19</v>
      </c>
      <c r="B2" s="7">
        <v>1</v>
      </c>
      <c r="C2">
        <v>0</v>
      </c>
      <c r="D2">
        <f>1588*1205</f>
        <v>1913540</v>
      </c>
      <c r="E2">
        <f>698.558*530.077</f>
        <v>370289.52896600001</v>
      </c>
      <c r="F2">
        <f>E2/1000000</f>
        <v>0.37028952896600004</v>
      </c>
      <c r="G2">
        <v>0</v>
      </c>
      <c r="H2">
        <v>0</v>
      </c>
      <c r="I2">
        <f>H2/1000000</f>
        <v>0</v>
      </c>
      <c r="J2">
        <v>0</v>
      </c>
      <c r="K2">
        <f>C2/F2</f>
        <v>0</v>
      </c>
      <c r="L2" s="5">
        <v>3</v>
      </c>
      <c r="O2">
        <v>8.6189999999999998</v>
      </c>
      <c r="P2">
        <f>O2/1000</f>
        <v>8.6189999999999999E-3</v>
      </c>
      <c r="Q2">
        <f>(P2*365)/28</f>
        <v>0.11235482142857144</v>
      </c>
    </row>
    <row r="3" spans="1:17" ht="15.75" thickBot="1" x14ac:dyDescent="0.3">
      <c r="A3" s="29"/>
      <c r="B3" s="7">
        <v>2</v>
      </c>
      <c r="C3">
        <v>0</v>
      </c>
      <c r="D3">
        <f>1567*1219</f>
        <v>1910173</v>
      </c>
      <c r="E3">
        <f>689.32*536.236</f>
        <v>369638.19952000002</v>
      </c>
      <c r="F3">
        <f t="shared" ref="F3:F6" si="0">E3/1000000</f>
        <v>0.36963819952000004</v>
      </c>
      <c r="G3">
        <v>0</v>
      </c>
      <c r="H3">
        <v>0</v>
      </c>
      <c r="I3">
        <f t="shared" ref="I3:I6" si="1">H3/1000000</f>
        <v>0</v>
      </c>
      <c r="J3">
        <v>0</v>
      </c>
      <c r="K3">
        <f>C3/F3</f>
        <v>0</v>
      </c>
      <c r="L3" s="5">
        <v>6</v>
      </c>
      <c r="O3">
        <v>12.792</v>
      </c>
      <c r="P3">
        <f t="shared" ref="P3:P6" si="2">O3/1000</f>
        <v>1.2792E-2</v>
      </c>
      <c r="Q3">
        <f t="shared" ref="Q3:Q6" si="3">(P3*365)/28</f>
        <v>0.16675285714285715</v>
      </c>
    </row>
    <row r="4" spans="1:17" ht="15.75" thickBot="1" x14ac:dyDescent="0.3">
      <c r="A4" s="29"/>
      <c r="B4" s="7">
        <v>3</v>
      </c>
      <c r="C4">
        <v>0</v>
      </c>
      <c r="D4">
        <f>1597*1220</f>
        <v>1948340</v>
      </c>
      <c r="E4">
        <f>702.517*536.675</f>
        <v>377023.31097499997</v>
      </c>
      <c r="F4">
        <f t="shared" si="0"/>
        <v>0.37702331097499997</v>
      </c>
      <c r="G4">
        <v>0</v>
      </c>
      <c r="H4">
        <v>0</v>
      </c>
      <c r="I4">
        <f t="shared" si="1"/>
        <v>0</v>
      </c>
      <c r="J4">
        <v>0</v>
      </c>
      <c r="K4">
        <f>C4/F4</f>
        <v>0</v>
      </c>
      <c r="L4" s="5">
        <v>9</v>
      </c>
      <c r="O4">
        <v>13.307</v>
      </c>
      <c r="P4">
        <f t="shared" si="2"/>
        <v>1.3307000000000001E-2</v>
      </c>
      <c r="Q4">
        <f t="shared" si="3"/>
        <v>0.17346625000000002</v>
      </c>
    </row>
    <row r="5" spans="1:17" ht="15.75" thickBot="1" x14ac:dyDescent="0.3">
      <c r="A5" s="29"/>
      <c r="B5" s="7">
        <v>4</v>
      </c>
      <c r="C5">
        <v>0</v>
      </c>
      <c r="D5">
        <f>1612*1223</f>
        <v>1971476</v>
      </c>
      <c r="E5">
        <f>709.115*537.995</f>
        <v>381500.324425</v>
      </c>
      <c r="F5">
        <f t="shared" si="0"/>
        <v>0.38150032442499998</v>
      </c>
      <c r="G5">
        <v>0</v>
      </c>
      <c r="H5">
        <v>0</v>
      </c>
      <c r="I5">
        <f t="shared" si="1"/>
        <v>0</v>
      </c>
      <c r="J5">
        <v>0</v>
      </c>
      <c r="K5">
        <f>C5/F5</f>
        <v>0</v>
      </c>
      <c r="L5" s="5">
        <v>12</v>
      </c>
      <c r="O5">
        <v>6.0190000000000001</v>
      </c>
      <c r="P5">
        <f t="shared" si="2"/>
        <v>6.019E-3</v>
      </c>
      <c r="Q5">
        <f t="shared" si="3"/>
        <v>7.8461964285714281E-2</v>
      </c>
    </row>
    <row r="6" spans="1:17" ht="15.75" thickBot="1" x14ac:dyDescent="0.3">
      <c r="A6" s="30"/>
      <c r="B6" s="7">
        <v>5</v>
      </c>
      <c r="C6">
        <v>0</v>
      </c>
      <c r="D6">
        <f>1600*1212</f>
        <v>1939200</v>
      </c>
      <c r="E6">
        <f>707.96*536.28</f>
        <v>379664.78879999998</v>
      </c>
      <c r="F6">
        <f t="shared" si="0"/>
        <v>0.37966478879999999</v>
      </c>
      <c r="G6">
        <v>0</v>
      </c>
      <c r="H6">
        <v>0</v>
      </c>
      <c r="I6">
        <f t="shared" si="1"/>
        <v>0</v>
      </c>
      <c r="J6">
        <v>0</v>
      </c>
      <c r="K6">
        <f>C6/F6</f>
        <v>0</v>
      </c>
      <c r="L6" s="5" t="s">
        <v>17</v>
      </c>
      <c r="O6">
        <v>20.207999999999998</v>
      </c>
      <c r="P6">
        <f t="shared" si="2"/>
        <v>2.0207999999999997E-2</v>
      </c>
      <c r="Q6">
        <f t="shared" si="3"/>
        <v>0.26342571428571426</v>
      </c>
    </row>
    <row r="7" spans="1:17" ht="15.75" thickBot="1" x14ac:dyDescent="0.3">
      <c r="A7" s="7" t="s">
        <v>18</v>
      </c>
      <c r="B7" s="4"/>
      <c r="C7" s="6">
        <f>AVERAGE(C2:C6)</f>
        <v>0</v>
      </c>
      <c r="D7" s="4">
        <f t="shared" ref="D7:H7" si="4">AVERAGE(D2:D6)</f>
        <v>1936545.8</v>
      </c>
      <c r="E7" s="4">
        <f t="shared" si="4"/>
        <v>375623.2305372</v>
      </c>
      <c r="F7" s="4">
        <f>AVERAGE(F2:F6)</f>
        <v>0.37562323053719998</v>
      </c>
      <c r="G7" s="4">
        <f t="shared" si="4"/>
        <v>0</v>
      </c>
      <c r="H7" s="4">
        <f t="shared" si="4"/>
        <v>0</v>
      </c>
      <c r="I7" s="4">
        <f>AVERAGE(I2:I6)</f>
        <v>0</v>
      </c>
      <c r="J7" s="4">
        <f>AVERAGE(J2:J6)</f>
        <v>0</v>
      </c>
      <c r="K7" s="4">
        <f>AVERAGE(K2:K6)</f>
        <v>0</v>
      </c>
      <c r="M7" s="4" t="e">
        <f t="shared" ref="M7:Q7" si="5">AVERAGE(M2:M6)</f>
        <v>#DIV/0!</v>
      </c>
      <c r="N7" s="4" t="e">
        <f t="shared" si="5"/>
        <v>#DIV/0!</v>
      </c>
      <c r="O7" s="4">
        <f t="shared" si="5"/>
        <v>12.189</v>
      </c>
      <c r="P7" s="4">
        <f t="shared" si="5"/>
        <v>1.2188999999999998E-2</v>
      </c>
      <c r="Q7" s="4">
        <f t="shared" si="5"/>
        <v>0.15889232142857143</v>
      </c>
    </row>
    <row r="8" spans="1:17" ht="15.75" thickBot="1" x14ac:dyDescent="0.3"/>
    <row r="9" spans="1:17" ht="15.75" thickBot="1" x14ac:dyDescent="0.3">
      <c r="A9" s="7" t="s">
        <v>31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28" t="s">
        <v>20</v>
      </c>
      <c r="B10" s="7">
        <v>1</v>
      </c>
      <c r="C10">
        <v>0</v>
      </c>
      <c r="D10">
        <f>1595*1222</f>
        <v>1949090</v>
      </c>
      <c r="E10">
        <f>705.75*540.71</f>
        <v>381606.08250000002</v>
      </c>
      <c r="F10">
        <f>E10/1000000</f>
        <v>0.3816060825</v>
      </c>
      <c r="G10">
        <v>0</v>
      </c>
      <c r="H10">
        <v>0</v>
      </c>
      <c r="I10">
        <f>H10/1000000</f>
        <v>0</v>
      </c>
      <c r="J10">
        <v>0</v>
      </c>
      <c r="K10">
        <f>C10/F10</f>
        <v>0</v>
      </c>
      <c r="O10">
        <v>7.2750000000000004</v>
      </c>
      <c r="P10">
        <f>O10/1000</f>
        <v>7.2750000000000002E-3</v>
      </c>
      <c r="Q10">
        <f>(P10*365)/28</f>
        <v>9.4834821428571442E-2</v>
      </c>
    </row>
    <row r="11" spans="1:17" ht="15.75" thickBot="1" x14ac:dyDescent="0.3">
      <c r="A11" s="29"/>
      <c r="B11" s="7">
        <v>2</v>
      </c>
      <c r="C11">
        <v>0</v>
      </c>
      <c r="D11">
        <f>1597*1194</f>
        <v>1906818</v>
      </c>
      <c r="E11">
        <f>702.517*525.238</f>
        <v>368988.62404600007</v>
      </c>
      <c r="F11">
        <f t="shared" ref="F11:F14" si="6">E11/1000000</f>
        <v>0.36898862404600008</v>
      </c>
      <c r="G11">
        <v>0</v>
      </c>
      <c r="H11">
        <v>0</v>
      </c>
      <c r="I11">
        <f t="shared" ref="I11:I14" si="7">H11/1000000</f>
        <v>0</v>
      </c>
      <c r="J11">
        <v>0</v>
      </c>
      <c r="K11">
        <f>C11/F11</f>
        <v>0</v>
      </c>
      <c r="O11">
        <v>5.2089999999999996</v>
      </c>
      <c r="P11">
        <f t="shared" ref="P11:P14" si="8">O11/1000</f>
        <v>5.2089999999999992E-3</v>
      </c>
      <c r="Q11">
        <f t="shared" ref="Q11:Q14" si="9">(P11*365)/28</f>
        <v>6.7903035714285701E-2</v>
      </c>
    </row>
    <row r="12" spans="1:17" ht="15.75" thickBot="1" x14ac:dyDescent="0.3">
      <c r="A12" s="29"/>
      <c r="B12" s="7">
        <v>3</v>
      </c>
      <c r="C12">
        <v>0</v>
      </c>
      <c r="D12">
        <f>1600*1211</f>
        <v>1937600</v>
      </c>
      <c r="E12">
        <f>703.837*532.716</f>
        <v>374945.23129199998</v>
      </c>
      <c r="F12">
        <f t="shared" si="6"/>
        <v>0.37494523129199997</v>
      </c>
      <c r="G12">
        <v>0</v>
      </c>
      <c r="H12">
        <v>0</v>
      </c>
      <c r="I12">
        <f t="shared" si="7"/>
        <v>0</v>
      </c>
      <c r="J12">
        <v>0</v>
      </c>
      <c r="K12">
        <f>C12/F12</f>
        <v>0</v>
      </c>
      <c r="O12">
        <v>6.4320000000000004</v>
      </c>
      <c r="P12">
        <f t="shared" si="8"/>
        <v>6.4320000000000002E-3</v>
      </c>
      <c r="Q12">
        <f t="shared" si="9"/>
        <v>8.3845714285714287E-2</v>
      </c>
    </row>
    <row r="13" spans="1:17" ht="15.75" thickBot="1" x14ac:dyDescent="0.3">
      <c r="A13" s="29"/>
      <c r="B13" s="7">
        <v>4</v>
      </c>
      <c r="C13">
        <v>0</v>
      </c>
      <c r="D13">
        <f>1614*1200</f>
        <v>1936800</v>
      </c>
      <c r="E13">
        <f>709.995*527.878</f>
        <v>374790.74061000004</v>
      </c>
      <c r="F13">
        <f t="shared" si="6"/>
        <v>0.37479074061000006</v>
      </c>
      <c r="G13">
        <v>0</v>
      </c>
      <c r="H13">
        <v>0</v>
      </c>
      <c r="I13">
        <f t="shared" si="7"/>
        <v>0</v>
      </c>
      <c r="J13">
        <v>0</v>
      </c>
      <c r="K13">
        <f>C13/F13</f>
        <v>0</v>
      </c>
      <c r="O13">
        <v>6.782</v>
      </c>
      <c r="P13">
        <f t="shared" si="8"/>
        <v>6.7819999999999998E-3</v>
      </c>
      <c r="Q13">
        <f t="shared" si="9"/>
        <v>8.8408214285714284E-2</v>
      </c>
    </row>
    <row r="14" spans="1:17" ht="15.75" thickBot="1" x14ac:dyDescent="0.3">
      <c r="A14" s="30"/>
      <c r="B14" s="7">
        <v>5</v>
      </c>
      <c r="C14">
        <v>1</v>
      </c>
      <c r="D14">
        <f>1607*1214</f>
        <v>1950898</v>
      </c>
      <c r="E14">
        <f>711.06*537.17</f>
        <v>381960.10019999993</v>
      </c>
      <c r="F14">
        <f t="shared" si="6"/>
        <v>0.38196010019999993</v>
      </c>
      <c r="G14">
        <v>14226.839</v>
      </c>
      <c r="H14">
        <v>14226.839</v>
      </c>
      <c r="I14">
        <f t="shared" si="7"/>
        <v>1.4226839E-2</v>
      </c>
      <c r="J14">
        <v>3.7250000000000001</v>
      </c>
      <c r="K14">
        <f>C14/F14</f>
        <v>2.6180745043170353</v>
      </c>
      <c r="O14">
        <v>15.428000000000001</v>
      </c>
      <c r="P14">
        <f t="shared" si="8"/>
        <v>1.5428000000000001E-2</v>
      </c>
      <c r="Q14">
        <f t="shared" si="9"/>
        <v>0.20111499999999999</v>
      </c>
    </row>
    <row r="15" spans="1:17" ht="15.75" thickBot="1" x14ac:dyDescent="0.3">
      <c r="A15" s="7" t="s">
        <v>18</v>
      </c>
      <c r="B15" s="4"/>
      <c r="C15" s="6">
        <f>AVERAGE(C10:C14)</f>
        <v>0.2</v>
      </c>
      <c r="D15" s="4">
        <f t="shared" ref="D15:E15" si="10">AVERAGE(D10:D14)</f>
        <v>1936241.2</v>
      </c>
      <c r="E15" s="4">
        <f t="shared" si="10"/>
        <v>376458.1557296</v>
      </c>
      <c r="F15" s="4">
        <f>AVERAGE(F10:F14)</f>
        <v>0.37645815572959995</v>
      </c>
      <c r="G15" s="4">
        <f t="shared" ref="G15:H15" si="11">AVERAGE(G10:G14)</f>
        <v>2845.3678</v>
      </c>
      <c r="H15" s="4">
        <f t="shared" si="11"/>
        <v>2845.3678</v>
      </c>
      <c r="I15" s="4">
        <f>AVERAGE(I10:I14)</f>
        <v>2.8453678E-3</v>
      </c>
      <c r="J15" s="4">
        <f>AVERAGE(J10:J14)</f>
        <v>0.745</v>
      </c>
      <c r="K15" s="4">
        <f>AVERAGE(K10:K14)</f>
        <v>0.52361490086340701</v>
      </c>
      <c r="M15" s="4" t="e">
        <f t="shared" ref="M15:Q15" si="12">AVERAGE(M10:M14)</f>
        <v>#DIV/0!</v>
      </c>
      <c r="N15" s="4" t="e">
        <f t="shared" si="12"/>
        <v>#DIV/0!</v>
      </c>
      <c r="O15" s="4">
        <f t="shared" si="12"/>
        <v>8.225200000000001</v>
      </c>
      <c r="P15" s="4">
        <f t="shared" si="12"/>
        <v>8.2251999999999985E-3</v>
      </c>
      <c r="Q15" s="4">
        <f t="shared" si="12"/>
        <v>0.10722135714285715</v>
      </c>
    </row>
    <row r="16" spans="1:17" ht="15.75" thickBot="1" x14ac:dyDescent="0.3"/>
    <row r="17" spans="1:17" ht="15.75" thickBot="1" x14ac:dyDescent="0.3">
      <c r="A17" s="7" t="s">
        <v>31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28" t="s">
        <v>21</v>
      </c>
      <c r="B18" s="7">
        <v>1</v>
      </c>
      <c r="C18">
        <v>0</v>
      </c>
      <c r="D18">
        <f>1613*1222</f>
        <v>1971086</v>
      </c>
      <c r="E18">
        <f>709.555*537.555</f>
        <v>381424.83802499995</v>
      </c>
      <c r="F18">
        <f>E18/1000000</f>
        <v>0.38142483802499993</v>
      </c>
      <c r="G18">
        <v>0</v>
      </c>
      <c r="H18">
        <v>0</v>
      </c>
      <c r="I18">
        <f>H18/1000000</f>
        <v>0</v>
      </c>
      <c r="J18">
        <v>0</v>
      </c>
      <c r="K18">
        <f>C18/F18</f>
        <v>0</v>
      </c>
      <c r="O18">
        <v>4.1779999999999999</v>
      </c>
      <c r="P18">
        <f>O18/1000</f>
        <v>4.1780000000000003E-3</v>
      </c>
      <c r="Q18">
        <f>(P18*365)/28</f>
        <v>5.4463214285714288E-2</v>
      </c>
    </row>
    <row r="19" spans="1:17" ht="15.75" thickBot="1" x14ac:dyDescent="0.3">
      <c r="A19" s="29"/>
      <c r="B19" s="7">
        <v>2</v>
      </c>
      <c r="C19">
        <v>0</v>
      </c>
      <c r="D19">
        <f>1618*1226</f>
        <v>1983668</v>
      </c>
      <c r="E19">
        <f>711.755*539.315</f>
        <v>383860.14782500005</v>
      </c>
      <c r="F19">
        <f t="shared" ref="F19:F22" si="13">E19/1000000</f>
        <v>0.38386014782500005</v>
      </c>
      <c r="G19">
        <v>0</v>
      </c>
      <c r="H19">
        <v>0</v>
      </c>
      <c r="I19">
        <f t="shared" ref="I19:I22" si="14">H19/1000000</f>
        <v>0</v>
      </c>
      <c r="J19">
        <v>0</v>
      </c>
      <c r="K19">
        <f>C19/F19</f>
        <v>0</v>
      </c>
      <c r="O19">
        <v>5.407</v>
      </c>
      <c r="P19">
        <f t="shared" ref="P19:P22" si="15">O19/1000</f>
        <v>5.4070000000000003E-3</v>
      </c>
      <c r="Q19">
        <f t="shared" ref="Q19:Q22" si="16">(P19*365)/28</f>
        <v>7.0484107142857147E-2</v>
      </c>
    </row>
    <row r="20" spans="1:17" ht="15.75" thickBot="1" x14ac:dyDescent="0.3">
      <c r="A20" s="29"/>
      <c r="B20" s="7">
        <v>3</v>
      </c>
      <c r="C20">
        <v>0</v>
      </c>
      <c r="D20">
        <f>1614*1225</f>
        <v>1977150</v>
      </c>
      <c r="E20">
        <f>709.995*538.875</f>
        <v>382598.55562499998</v>
      </c>
      <c r="F20">
        <f t="shared" si="13"/>
        <v>0.382598555625</v>
      </c>
      <c r="G20">
        <v>0</v>
      </c>
      <c r="H20">
        <v>0</v>
      </c>
      <c r="I20">
        <f t="shared" si="14"/>
        <v>0</v>
      </c>
      <c r="J20">
        <v>0</v>
      </c>
      <c r="K20">
        <f>C20/F20</f>
        <v>0</v>
      </c>
      <c r="O20">
        <v>9.7439999999999998</v>
      </c>
      <c r="P20">
        <f t="shared" si="15"/>
        <v>9.7439999999999992E-3</v>
      </c>
      <c r="Q20">
        <f t="shared" si="16"/>
        <v>0.12701999999999999</v>
      </c>
    </row>
    <row r="21" spans="1:17" ht="15.75" thickBot="1" x14ac:dyDescent="0.3">
      <c r="A21" s="29"/>
      <c r="B21" s="7">
        <v>4</v>
      </c>
      <c r="C21">
        <v>0</v>
      </c>
      <c r="D21">
        <f>1589*1222</f>
        <v>1941758</v>
      </c>
      <c r="E21">
        <f>698.998*537.555</f>
        <v>375749.86988999997</v>
      </c>
      <c r="F21">
        <f t="shared" si="13"/>
        <v>0.37574986988999998</v>
      </c>
      <c r="G21">
        <v>0</v>
      </c>
      <c r="H21">
        <v>0</v>
      </c>
      <c r="I21">
        <f t="shared" si="14"/>
        <v>0</v>
      </c>
      <c r="J21">
        <v>0</v>
      </c>
      <c r="K21">
        <f>C21/F21</f>
        <v>0</v>
      </c>
      <c r="O21">
        <v>6.1050000000000004</v>
      </c>
      <c r="P21">
        <f t="shared" si="15"/>
        <v>6.1050000000000002E-3</v>
      </c>
      <c r="Q21">
        <f t="shared" si="16"/>
        <v>7.958303571428571E-2</v>
      </c>
    </row>
    <row r="22" spans="1:17" ht="15.75" thickBot="1" x14ac:dyDescent="0.3">
      <c r="A22" s="30"/>
      <c r="B22" s="7">
        <v>5</v>
      </c>
      <c r="C22">
        <v>2</v>
      </c>
      <c r="D22">
        <f>1613*1222</f>
        <v>1971086</v>
      </c>
      <c r="E22">
        <f>713.72*540.71</f>
        <v>385915.54120000004</v>
      </c>
      <c r="F22">
        <f t="shared" si="13"/>
        <v>0.38591554120000005</v>
      </c>
      <c r="G22">
        <v>6285.1440000000002</v>
      </c>
      <c r="H22">
        <v>3142.5720000000001</v>
      </c>
      <c r="I22">
        <f t="shared" si="14"/>
        <v>3.1425720000000002E-3</v>
      </c>
      <c r="J22">
        <v>1.629</v>
      </c>
      <c r="K22">
        <f>C22/F22</f>
        <v>5.1824811039768504</v>
      </c>
      <c r="O22">
        <v>24.218</v>
      </c>
      <c r="P22">
        <f t="shared" si="15"/>
        <v>2.4218E-2</v>
      </c>
      <c r="Q22">
        <f t="shared" si="16"/>
        <v>0.31569892857142856</v>
      </c>
    </row>
    <row r="23" spans="1:17" ht="15.75" thickBot="1" x14ac:dyDescent="0.3">
      <c r="A23" s="7" t="s">
        <v>18</v>
      </c>
      <c r="B23" s="4"/>
      <c r="C23" s="6">
        <f>AVERAGE(C18:C22)</f>
        <v>0.4</v>
      </c>
      <c r="D23" s="4">
        <f t="shared" ref="D23:E23" si="17">AVERAGE(D18:D22)</f>
        <v>1968949.6</v>
      </c>
      <c r="E23" s="4">
        <f t="shared" si="17"/>
        <v>381909.79051300004</v>
      </c>
      <c r="F23" s="4">
        <f>AVERAGE(F18:F22)</f>
        <v>0.38190979051299995</v>
      </c>
      <c r="G23" s="4">
        <f t="shared" ref="G23:H23" si="18">AVERAGE(G18:G22)</f>
        <v>1257.0288</v>
      </c>
      <c r="H23" s="4">
        <f t="shared" si="18"/>
        <v>628.51440000000002</v>
      </c>
      <c r="I23" s="4">
        <f>AVERAGE(I18:I22)</f>
        <v>6.2851440000000008E-4</v>
      </c>
      <c r="J23" s="4">
        <f>AVERAGE(J18:J22)</f>
        <v>0.32579999999999998</v>
      </c>
      <c r="K23" s="4">
        <f>AVERAGE(K18:K22)</f>
        <v>1.0364962207953701</v>
      </c>
      <c r="M23" s="4" t="e">
        <f t="shared" ref="M23:Q23" si="19">AVERAGE(M18:M22)</f>
        <v>#DIV/0!</v>
      </c>
      <c r="N23" s="4" t="e">
        <f t="shared" si="19"/>
        <v>#DIV/0!</v>
      </c>
      <c r="O23" s="4">
        <f t="shared" si="19"/>
        <v>9.9304000000000006</v>
      </c>
      <c r="P23" s="4">
        <f t="shared" si="19"/>
        <v>9.9304000000000007E-3</v>
      </c>
      <c r="Q23" s="4">
        <f t="shared" si="19"/>
        <v>0.12944985714285714</v>
      </c>
    </row>
    <row r="24" spans="1:17" ht="15.75" thickBot="1" x14ac:dyDescent="0.3"/>
    <row r="25" spans="1:17" ht="15.75" thickBot="1" x14ac:dyDescent="0.3">
      <c r="A25" s="7" t="s">
        <v>31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28" t="s">
        <v>32</v>
      </c>
      <c r="B26" s="7">
        <v>1</v>
      </c>
      <c r="C26">
        <v>0</v>
      </c>
      <c r="D26">
        <f>1618*1225</f>
        <v>1982050</v>
      </c>
      <c r="E26">
        <f>711.755*538.875</f>
        <v>383546.97562500002</v>
      </c>
      <c r="F26">
        <f>E26/1000000</f>
        <v>0.38354697562500001</v>
      </c>
      <c r="G26">
        <v>0</v>
      </c>
      <c r="H26">
        <v>0</v>
      </c>
      <c r="I26">
        <f>H26/1000000</f>
        <v>0</v>
      </c>
      <c r="J26">
        <v>0</v>
      </c>
      <c r="K26">
        <f t="shared" ref="K26:K31" si="20">C26/F26</f>
        <v>0</v>
      </c>
      <c r="L26" s="5">
        <v>3</v>
      </c>
      <c r="O26">
        <v>7.1429999999999998</v>
      </c>
      <c r="P26">
        <f>O26/1000</f>
        <v>7.143E-3</v>
      </c>
      <c r="Q26">
        <f>(P26*365)/28</f>
        <v>9.3114107142857144E-2</v>
      </c>
    </row>
    <row r="27" spans="1:17" ht="15.75" thickBot="1" x14ac:dyDescent="0.3">
      <c r="A27" s="29"/>
      <c r="B27" s="7">
        <v>2</v>
      </c>
      <c r="C27">
        <v>0</v>
      </c>
      <c r="D27">
        <f>1616*1227</f>
        <v>1982832</v>
      </c>
      <c r="E27">
        <f>710.875*539.755</f>
        <v>383698.33562500001</v>
      </c>
      <c r="F27">
        <f t="shared" ref="F27:F31" si="21">E27/1000000</f>
        <v>0.383698335625</v>
      </c>
      <c r="G27">
        <v>0</v>
      </c>
      <c r="H27">
        <v>0</v>
      </c>
      <c r="I27">
        <f t="shared" ref="I27:I31" si="22">H27/1000000</f>
        <v>0</v>
      </c>
      <c r="J27">
        <v>0</v>
      </c>
      <c r="K27">
        <f t="shared" si="20"/>
        <v>0</v>
      </c>
      <c r="L27" s="5">
        <v>6</v>
      </c>
      <c r="O27">
        <v>9.8989999999999991</v>
      </c>
      <c r="P27">
        <f t="shared" ref="P27:P31" si="23">O27/1000</f>
        <v>9.8989999999999998E-3</v>
      </c>
      <c r="Q27">
        <f t="shared" ref="Q27:Q31" si="24">(P27*365)/28</f>
        <v>0.1290405357142857</v>
      </c>
    </row>
    <row r="28" spans="1:17" ht="15.75" thickBot="1" x14ac:dyDescent="0.3">
      <c r="A28" s="29"/>
      <c r="B28" s="7">
        <v>3</v>
      </c>
      <c r="C28">
        <v>0</v>
      </c>
      <c r="D28">
        <f>1585*1213</f>
        <v>1922605</v>
      </c>
      <c r="E28">
        <f>697.238*533.596</f>
        <v>372043.40784800006</v>
      </c>
      <c r="F28">
        <f t="shared" si="21"/>
        <v>0.37204340784800005</v>
      </c>
      <c r="G28">
        <v>0</v>
      </c>
      <c r="H28">
        <v>0</v>
      </c>
      <c r="I28">
        <f t="shared" si="22"/>
        <v>0</v>
      </c>
      <c r="J28">
        <v>0</v>
      </c>
      <c r="K28">
        <f t="shared" si="20"/>
        <v>0</v>
      </c>
      <c r="L28" s="5">
        <v>9</v>
      </c>
      <c r="O28">
        <v>10.815</v>
      </c>
      <c r="P28">
        <f t="shared" si="23"/>
        <v>1.0815E-2</v>
      </c>
      <c r="Q28">
        <f t="shared" si="24"/>
        <v>0.14098125</v>
      </c>
    </row>
    <row r="29" spans="1:17" ht="15.75" thickBot="1" x14ac:dyDescent="0.3">
      <c r="A29" s="29"/>
      <c r="B29" s="7">
        <v>4</v>
      </c>
      <c r="C29">
        <v>0</v>
      </c>
      <c r="D29">
        <f>1613*1221</f>
        <v>1969473</v>
      </c>
      <c r="E29">
        <f>709.555*537.115</f>
        <v>381112.63382499997</v>
      </c>
      <c r="F29">
        <f t="shared" si="21"/>
        <v>0.38111263382499999</v>
      </c>
      <c r="G29">
        <v>0</v>
      </c>
      <c r="H29">
        <v>0</v>
      </c>
      <c r="I29">
        <f t="shared" si="22"/>
        <v>0</v>
      </c>
      <c r="J29">
        <v>0</v>
      </c>
      <c r="K29">
        <f t="shared" si="20"/>
        <v>0</v>
      </c>
      <c r="L29" s="5">
        <v>12</v>
      </c>
      <c r="O29">
        <v>7.6379999999999999</v>
      </c>
      <c r="P29">
        <f t="shared" si="23"/>
        <v>7.6379999999999998E-3</v>
      </c>
      <c r="Q29">
        <f t="shared" si="24"/>
        <v>9.9566785714285705E-2</v>
      </c>
    </row>
    <row r="30" spans="1:17" ht="15.75" thickBot="1" x14ac:dyDescent="0.3">
      <c r="A30" s="29"/>
      <c r="B30" s="7">
        <v>5</v>
      </c>
      <c r="C30">
        <v>0</v>
      </c>
      <c r="D30">
        <f>1608*1223</f>
        <v>1966584</v>
      </c>
      <c r="E30">
        <f>711.5*541.15</f>
        <v>385028.22499999998</v>
      </c>
      <c r="F30">
        <f t="shared" si="21"/>
        <v>0.385028225</v>
      </c>
      <c r="G30">
        <v>0</v>
      </c>
      <c r="H30">
        <v>0</v>
      </c>
      <c r="I30">
        <f t="shared" si="22"/>
        <v>0</v>
      </c>
      <c r="J30">
        <v>0</v>
      </c>
      <c r="K30">
        <f t="shared" si="20"/>
        <v>0</v>
      </c>
      <c r="L30" s="5" t="s">
        <v>17</v>
      </c>
      <c r="O30">
        <v>7.8360000000000003</v>
      </c>
      <c r="P30">
        <f t="shared" ref="P30" si="25">O30/1000</f>
        <v>7.836000000000001E-3</v>
      </c>
      <c r="Q30">
        <f t="shared" ref="Q30" si="26">(P30*365)/28</f>
        <v>0.10214785714285715</v>
      </c>
    </row>
    <row r="31" spans="1:17" ht="15.75" thickBot="1" x14ac:dyDescent="0.3">
      <c r="A31" s="30"/>
      <c r="B31" s="7">
        <v>6</v>
      </c>
      <c r="C31">
        <v>0</v>
      </c>
      <c r="D31">
        <f>1591*1225</f>
        <v>1948975</v>
      </c>
      <c r="E31">
        <f>699.878*538.875</f>
        <v>377146.75725000002</v>
      </c>
      <c r="F31">
        <f t="shared" si="21"/>
        <v>0.37714675725000002</v>
      </c>
      <c r="G31">
        <v>0</v>
      </c>
      <c r="H31">
        <v>0</v>
      </c>
      <c r="I31">
        <f t="shared" si="22"/>
        <v>0</v>
      </c>
      <c r="J31">
        <v>0</v>
      </c>
      <c r="K31">
        <f t="shared" si="20"/>
        <v>0</v>
      </c>
      <c r="L31" s="5" t="s">
        <v>35</v>
      </c>
      <c r="O31">
        <v>9.093</v>
      </c>
      <c r="P31">
        <f t="shared" si="23"/>
        <v>9.0930000000000004E-3</v>
      </c>
      <c r="Q31">
        <f t="shared" si="24"/>
        <v>0.11853375000000001</v>
      </c>
    </row>
    <row r="32" spans="1:17" ht="15.75" thickBot="1" x14ac:dyDescent="0.3">
      <c r="A32" s="7" t="s">
        <v>18</v>
      </c>
      <c r="B32" s="4"/>
      <c r="C32" s="6">
        <f>AVERAGE(C26:C31)</f>
        <v>0</v>
      </c>
      <c r="D32" s="4">
        <f t="shared" ref="D32:E32" si="27">AVERAGE(D26:D31)</f>
        <v>1962086.5</v>
      </c>
      <c r="E32" s="4">
        <f t="shared" si="27"/>
        <v>380429.38919549994</v>
      </c>
      <c r="F32" s="4">
        <f>AVERAGE(F26:F31)</f>
        <v>0.38042938919550001</v>
      </c>
      <c r="G32" s="4">
        <f t="shared" ref="G32:H32" si="28">AVERAGE(G26:G31)</f>
        <v>0</v>
      </c>
      <c r="H32" s="4">
        <f t="shared" si="28"/>
        <v>0</v>
      </c>
      <c r="I32" s="4">
        <f>AVERAGE(I26:I31)</f>
        <v>0</v>
      </c>
      <c r="J32" s="4">
        <f>AVERAGE(J26:J31)</f>
        <v>0</v>
      </c>
      <c r="K32" s="4">
        <f>AVERAGE(K26:K31)</f>
        <v>0</v>
      </c>
      <c r="M32" s="4" t="e">
        <f t="shared" ref="M32:Q32" si="29">AVERAGE(M26:M31)</f>
        <v>#DIV/0!</v>
      </c>
      <c r="N32" s="4" t="e">
        <f t="shared" si="29"/>
        <v>#DIV/0!</v>
      </c>
      <c r="O32" s="4">
        <f t="shared" si="29"/>
        <v>8.7373333333333321</v>
      </c>
      <c r="P32" s="4">
        <f t="shared" si="29"/>
        <v>8.7373333333333331E-3</v>
      </c>
      <c r="Q32" s="4">
        <f t="shared" si="29"/>
        <v>0.11389738095238094</v>
      </c>
    </row>
    <row r="33" spans="1:17" ht="15.75" thickBot="1" x14ac:dyDescent="0.3"/>
    <row r="34" spans="1:17" ht="15.75" thickBot="1" x14ac:dyDescent="0.3">
      <c r="A34" s="7" t="s">
        <v>31</v>
      </c>
      <c r="B34" s="4" t="s">
        <v>1</v>
      </c>
      <c r="C34" s="1" t="s">
        <v>2</v>
      </c>
      <c r="D34" s="1" t="s">
        <v>3</v>
      </c>
      <c r="E34" s="1" t="s">
        <v>4</v>
      </c>
      <c r="F34" s="1" t="s">
        <v>5</v>
      </c>
      <c r="G34" s="1" t="s">
        <v>6</v>
      </c>
      <c r="H34" s="2" t="s">
        <v>7</v>
      </c>
      <c r="I34" s="2" t="s">
        <v>8</v>
      </c>
      <c r="J34" s="3" t="s">
        <v>9</v>
      </c>
      <c r="K34" s="1" t="s">
        <v>10</v>
      </c>
      <c r="M34" s="8" t="s">
        <v>12</v>
      </c>
      <c r="N34" s="8" t="s">
        <v>13</v>
      </c>
      <c r="O34" s="8" t="s">
        <v>14</v>
      </c>
      <c r="P34" s="8" t="s">
        <v>15</v>
      </c>
      <c r="Q34" s="8" t="s">
        <v>16</v>
      </c>
    </row>
    <row r="35" spans="1:17" ht="15.75" thickBot="1" x14ac:dyDescent="0.3">
      <c r="A35" s="28" t="s">
        <v>33</v>
      </c>
      <c r="B35" s="7">
        <v>1</v>
      </c>
      <c r="C35">
        <v>0</v>
      </c>
      <c r="D35">
        <f>1615*1225</f>
        <v>1978375</v>
      </c>
      <c r="E35">
        <f>710.435*538.875</f>
        <v>382835.66062499996</v>
      </c>
      <c r="F35">
        <f>E35/1000000</f>
        <v>0.38283566062499996</v>
      </c>
      <c r="G35">
        <v>0</v>
      </c>
      <c r="H35">
        <v>0</v>
      </c>
      <c r="I35">
        <f>H35/1000000</f>
        <v>0</v>
      </c>
      <c r="J35">
        <v>0</v>
      </c>
      <c r="K35">
        <f>C35/F35</f>
        <v>0</v>
      </c>
      <c r="O35">
        <v>5.585</v>
      </c>
      <c r="P35">
        <f>O35/1000</f>
        <v>5.5849999999999997E-3</v>
      </c>
      <c r="Q35">
        <f>(P35*365)/28</f>
        <v>7.2804464285714285E-2</v>
      </c>
    </row>
    <row r="36" spans="1:17" ht="15.75" thickBot="1" x14ac:dyDescent="0.3">
      <c r="A36" s="29"/>
      <c r="B36" s="7">
        <v>2</v>
      </c>
      <c r="C36">
        <v>0</v>
      </c>
      <c r="D36">
        <f>1619*1232</f>
        <v>1994608</v>
      </c>
      <c r="E36">
        <f>712.195*541.954</f>
        <v>385976.92903</v>
      </c>
      <c r="F36">
        <f t="shared" ref="F36:F39" si="30">E36/1000000</f>
        <v>0.38597692903000003</v>
      </c>
      <c r="G36">
        <v>0</v>
      </c>
      <c r="H36">
        <v>0</v>
      </c>
      <c r="I36">
        <f t="shared" ref="I36:I39" si="31">H36/1000000</f>
        <v>0</v>
      </c>
      <c r="J36">
        <v>0</v>
      </c>
      <c r="K36">
        <f>C36/F36</f>
        <v>0</v>
      </c>
      <c r="O36">
        <v>5.2140000000000004</v>
      </c>
      <c r="P36">
        <f t="shared" ref="P36:P39" si="32">O36/1000</f>
        <v>5.2140000000000008E-3</v>
      </c>
      <c r="Q36">
        <f t="shared" ref="Q36:Q39" si="33">(P36*365)/28</f>
        <v>6.7968214285714298E-2</v>
      </c>
    </row>
    <row r="37" spans="1:17" ht="15.75" thickBot="1" x14ac:dyDescent="0.3">
      <c r="A37" s="29"/>
      <c r="B37" s="7">
        <v>3</v>
      </c>
      <c r="C37">
        <v>0</v>
      </c>
      <c r="D37">
        <f>1619*1229</f>
        <v>1989751</v>
      </c>
      <c r="E37">
        <f>712.195*540.635</f>
        <v>385037.543825</v>
      </c>
      <c r="F37">
        <f t="shared" si="30"/>
        <v>0.38503754382499999</v>
      </c>
      <c r="G37">
        <v>0</v>
      </c>
      <c r="H37">
        <v>0</v>
      </c>
      <c r="I37">
        <f t="shared" si="31"/>
        <v>0</v>
      </c>
      <c r="J37">
        <v>0</v>
      </c>
      <c r="K37">
        <f>C37/F37</f>
        <v>0</v>
      </c>
      <c r="O37">
        <v>7.62</v>
      </c>
      <c r="P37">
        <f t="shared" si="32"/>
        <v>7.62E-3</v>
      </c>
      <c r="Q37">
        <f t="shared" si="33"/>
        <v>9.9332142857142855E-2</v>
      </c>
    </row>
    <row r="38" spans="1:17" ht="15.75" thickBot="1" x14ac:dyDescent="0.3">
      <c r="A38" s="29"/>
      <c r="B38" s="7">
        <v>4</v>
      </c>
      <c r="C38">
        <v>0</v>
      </c>
      <c r="D38">
        <f>1614*1225</f>
        <v>1977150</v>
      </c>
      <c r="E38">
        <f>709.995*538.875</f>
        <v>382598.55562499998</v>
      </c>
      <c r="F38">
        <f t="shared" si="30"/>
        <v>0.382598555625</v>
      </c>
      <c r="G38">
        <v>0</v>
      </c>
      <c r="H38">
        <v>0</v>
      </c>
      <c r="I38">
        <f t="shared" si="31"/>
        <v>0</v>
      </c>
      <c r="J38">
        <v>0</v>
      </c>
      <c r="K38">
        <f>C38/F38</f>
        <v>0</v>
      </c>
      <c r="O38">
        <v>6.274</v>
      </c>
      <c r="P38">
        <f t="shared" si="32"/>
        <v>6.2740000000000001E-3</v>
      </c>
      <c r="Q38">
        <f t="shared" si="33"/>
        <v>8.178607142857143E-2</v>
      </c>
    </row>
    <row r="39" spans="1:17" ht="15.75" thickBot="1" x14ac:dyDescent="0.3">
      <c r="A39" s="30"/>
      <c r="B39" s="7">
        <v>5</v>
      </c>
      <c r="C39">
        <v>0</v>
      </c>
      <c r="D39">
        <f>1616*1226</f>
        <v>1981216</v>
      </c>
      <c r="E39">
        <f>710.875*539.315</f>
        <v>383385.55062500003</v>
      </c>
      <c r="F39">
        <f t="shared" si="30"/>
        <v>0.38338555062500002</v>
      </c>
      <c r="G39">
        <v>0</v>
      </c>
      <c r="H39">
        <v>0</v>
      </c>
      <c r="I39">
        <f t="shared" si="31"/>
        <v>0</v>
      </c>
      <c r="J39">
        <v>0</v>
      </c>
      <c r="K39">
        <f>C39/F39</f>
        <v>0</v>
      </c>
      <c r="O39">
        <v>6.8</v>
      </c>
      <c r="P39">
        <f t="shared" si="32"/>
        <v>6.7999999999999996E-3</v>
      </c>
      <c r="Q39">
        <f t="shared" si="33"/>
        <v>8.8642857142857134E-2</v>
      </c>
    </row>
    <row r="40" spans="1:17" ht="15.75" thickBot="1" x14ac:dyDescent="0.3">
      <c r="A40" s="7" t="s">
        <v>18</v>
      </c>
      <c r="B40" s="4"/>
      <c r="C40" s="6">
        <f>AVERAGE(C35:C39)</f>
        <v>0</v>
      </c>
      <c r="D40" s="4">
        <f t="shared" ref="D40:E40" si="34">AVERAGE(D35:D39)</f>
        <v>1984220</v>
      </c>
      <c r="E40" s="4">
        <f t="shared" si="34"/>
        <v>383966.84794599999</v>
      </c>
      <c r="F40" s="4">
        <f>AVERAGE(F35:F39)</f>
        <v>0.383966847946</v>
      </c>
      <c r="G40" s="4">
        <f t="shared" ref="G40:H40" si="35">AVERAGE(G35:G39)</f>
        <v>0</v>
      </c>
      <c r="H40" s="4">
        <f t="shared" si="35"/>
        <v>0</v>
      </c>
      <c r="I40" s="4">
        <f>AVERAGE(I35:I39)</f>
        <v>0</v>
      </c>
      <c r="J40" s="4">
        <f>AVERAGE(J35:J39)</f>
        <v>0</v>
      </c>
      <c r="K40" s="4">
        <f>AVERAGE(K35:K39)</f>
        <v>0</v>
      </c>
      <c r="M40" s="4" t="e">
        <f t="shared" ref="M40:Q40" si="36">AVERAGE(M35:M39)</f>
        <v>#DIV/0!</v>
      </c>
      <c r="N40" s="4" t="e">
        <f t="shared" si="36"/>
        <v>#DIV/0!</v>
      </c>
      <c r="O40" s="4">
        <f t="shared" si="36"/>
        <v>6.2986000000000004</v>
      </c>
      <c r="P40" s="4">
        <f t="shared" si="36"/>
        <v>6.2985999999999997E-3</v>
      </c>
      <c r="Q40" s="4">
        <f t="shared" si="36"/>
        <v>8.2106749999999992E-2</v>
      </c>
    </row>
    <row r="41" spans="1:17" ht="15.75" thickBot="1" x14ac:dyDescent="0.3"/>
    <row r="42" spans="1:17" ht="15.75" thickBot="1" x14ac:dyDescent="0.3">
      <c r="A42" s="7" t="s">
        <v>31</v>
      </c>
      <c r="B42" s="4" t="s">
        <v>1</v>
      </c>
      <c r="C42" s="1" t="s">
        <v>2</v>
      </c>
      <c r="D42" s="1" t="s">
        <v>3</v>
      </c>
      <c r="E42" s="1" t="s">
        <v>4</v>
      </c>
      <c r="F42" s="1" t="s">
        <v>5</v>
      </c>
      <c r="G42" s="1" t="s">
        <v>6</v>
      </c>
      <c r="H42" s="2" t="s">
        <v>7</v>
      </c>
      <c r="I42" s="2" t="s">
        <v>8</v>
      </c>
      <c r="J42" s="3" t="s">
        <v>9</v>
      </c>
      <c r="K42" s="1" t="s">
        <v>10</v>
      </c>
      <c r="M42" s="8" t="s">
        <v>12</v>
      </c>
      <c r="N42" s="8" t="s">
        <v>13</v>
      </c>
      <c r="O42" s="8" t="s">
        <v>14</v>
      </c>
      <c r="P42" s="8" t="s">
        <v>15</v>
      </c>
      <c r="Q42" s="8" t="s">
        <v>16</v>
      </c>
    </row>
    <row r="43" spans="1:17" ht="15.75" thickBot="1" x14ac:dyDescent="0.3">
      <c r="A43" s="28" t="s">
        <v>34</v>
      </c>
      <c r="B43" s="7">
        <v>1</v>
      </c>
      <c r="C43">
        <v>0</v>
      </c>
      <c r="D43">
        <f>1619*1227</f>
        <v>1986513</v>
      </c>
      <c r="E43">
        <f>712.195*539.755</f>
        <v>384410.812225</v>
      </c>
      <c r="F43">
        <f>E43/1000000</f>
        <v>0.38441081222500001</v>
      </c>
      <c r="G43">
        <v>0</v>
      </c>
      <c r="H43">
        <v>0</v>
      </c>
      <c r="I43">
        <f>H43/1000000</f>
        <v>0</v>
      </c>
      <c r="J43">
        <v>0</v>
      </c>
      <c r="K43">
        <f>C43/F43</f>
        <v>0</v>
      </c>
      <c r="O43">
        <v>4.3369999999999997</v>
      </c>
      <c r="P43">
        <f>O43/1000</f>
        <v>4.3369999999999997E-3</v>
      </c>
      <c r="Q43">
        <f>(P43*365)/28</f>
        <v>5.6535892857142854E-2</v>
      </c>
    </row>
    <row r="44" spans="1:17" ht="15.75" thickBot="1" x14ac:dyDescent="0.3">
      <c r="A44" s="29"/>
      <c r="B44" s="7">
        <v>2</v>
      </c>
      <c r="C44">
        <v>0</v>
      </c>
      <c r="D44">
        <f>1620*1230</f>
        <v>1992600</v>
      </c>
      <c r="E44">
        <f>712.635*541.074</f>
        <v>385588.26998999994</v>
      </c>
      <c r="F44">
        <f t="shared" ref="F44:F47" si="37">E44/1000000</f>
        <v>0.38558826998999995</v>
      </c>
      <c r="G44">
        <v>0</v>
      </c>
      <c r="H44">
        <v>0</v>
      </c>
      <c r="I44">
        <f t="shared" ref="I44:I47" si="38">H44/1000000</f>
        <v>0</v>
      </c>
      <c r="J44">
        <v>0</v>
      </c>
      <c r="K44">
        <f>C44/F44</f>
        <v>0</v>
      </c>
      <c r="O44">
        <v>5.077</v>
      </c>
      <c r="P44">
        <f t="shared" ref="P44:P47" si="39">O44/1000</f>
        <v>5.0769999999999999E-3</v>
      </c>
      <c r="Q44">
        <f t="shared" ref="Q44:Q47" si="40">(P44*365)/28</f>
        <v>6.6182321428571431E-2</v>
      </c>
    </row>
    <row r="45" spans="1:17" ht="15.75" thickBot="1" x14ac:dyDescent="0.3">
      <c r="A45" s="29"/>
      <c r="B45" s="7">
        <v>3</v>
      </c>
      <c r="C45">
        <v>0</v>
      </c>
      <c r="D45">
        <f>1617*1218</f>
        <v>1969506</v>
      </c>
      <c r="E45">
        <f>711.315*535.796</f>
        <v>381119.73174000008</v>
      </c>
      <c r="F45">
        <f t="shared" si="37"/>
        <v>0.38111973174000008</v>
      </c>
      <c r="G45">
        <v>0</v>
      </c>
      <c r="H45">
        <v>0</v>
      </c>
      <c r="I45">
        <f t="shared" si="38"/>
        <v>0</v>
      </c>
      <c r="J45">
        <v>0</v>
      </c>
      <c r="K45">
        <f>C45/F45</f>
        <v>0</v>
      </c>
      <c r="O45">
        <v>9.7070000000000007</v>
      </c>
      <c r="P45">
        <f t="shared" si="39"/>
        <v>9.7070000000000004E-3</v>
      </c>
      <c r="Q45">
        <f t="shared" si="40"/>
        <v>0.12653767857142859</v>
      </c>
    </row>
    <row r="46" spans="1:17" ht="15.75" thickBot="1" x14ac:dyDescent="0.3">
      <c r="A46" s="29"/>
      <c r="B46" s="7">
        <v>4</v>
      </c>
      <c r="C46">
        <v>0</v>
      </c>
      <c r="D46">
        <f>1618*1229</f>
        <v>1988522</v>
      </c>
      <c r="E46">
        <f>711.755*540.635</f>
        <v>384799.66442499997</v>
      </c>
      <c r="F46">
        <f t="shared" si="37"/>
        <v>0.38479966442499997</v>
      </c>
      <c r="G46">
        <v>0</v>
      </c>
      <c r="H46">
        <v>0</v>
      </c>
      <c r="I46">
        <f t="shared" si="38"/>
        <v>0</v>
      </c>
      <c r="J46">
        <v>0</v>
      </c>
      <c r="K46">
        <f>C46/F46</f>
        <v>0</v>
      </c>
      <c r="O46">
        <v>5.1879999999999997</v>
      </c>
      <c r="P46">
        <f t="shared" si="39"/>
        <v>5.1879999999999999E-3</v>
      </c>
      <c r="Q46">
        <f t="shared" si="40"/>
        <v>6.7629285714285711E-2</v>
      </c>
    </row>
    <row r="47" spans="1:17" ht="15.75" thickBot="1" x14ac:dyDescent="0.3">
      <c r="A47" s="30"/>
      <c r="B47" s="7">
        <v>5</v>
      </c>
      <c r="C47">
        <v>0</v>
      </c>
      <c r="D47">
        <f>1614*1224</f>
        <v>1975536</v>
      </c>
      <c r="E47">
        <f>710.875*540.635</f>
        <v>384323.90562500001</v>
      </c>
      <c r="F47">
        <f t="shared" si="37"/>
        <v>0.38432390562500002</v>
      </c>
      <c r="G47">
        <v>0</v>
      </c>
      <c r="H47">
        <v>0</v>
      </c>
      <c r="I47">
        <f t="shared" si="38"/>
        <v>0</v>
      </c>
      <c r="J47">
        <v>0</v>
      </c>
      <c r="K47">
        <f>C47/F47</f>
        <v>0</v>
      </c>
      <c r="O47">
        <v>9.1150000000000002</v>
      </c>
      <c r="P47">
        <f t="shared" si="39"/>
        <v>9.1149999999999998E-3</v>
      </c>
      <c r="Q47">
        <f t="shared" si="40"/>
        <v>0.11882053571428572</v>
      </c>
    </row>
    <row r="48" spans="1:17" ht="15.75" thickBot="1" x14ac:dyDescent="0.3">
      <c r="A48" s="7" t="s">
        <v>18</v>
      </c>
      <c r="B48" s="4"/>
      <c r="C48" s="6">
        <f>AVERAGE(C43:C47)</f>
        <v>0</v>
      </c>
      <c r="D48" s="4">
        <f t="shared" ref="D48:E48" si="41">AVERAGE(D43:D47)</f>
        <v>1982535.4</v>
      </c>
      <c r="E48" s="4">
        <f t="shared" si="41"/>
        <v>384048.47680100007</v>
      </c>
      <c r="F48" s="4">
        <f>AVERAGE(F43:F47)</f>
        <v>0.38404847680100007</v>
      </c>
      <c r="G48" s="4">
        <f t="shared" ref="G48:H48" si="42">AVERAGE(G43:G47)</f>
        <v>0</v>
      </c>
      <c r="H48" s="4">
        <f t="shared" si="42"/>
        <v>0</v>
      </c>
      <c r="I48" s="4">
        <f>AVERAGE(I43:I47)</f>
        <v>0</v>
      </c>
      <c r="J48" s="4">
        <f>AVERAGE(J43:J47)</f>
        <v>0</v>
      </c>
      <c r="K48" s="4">
        <f>AVERAGE(K43:K47)</f>
        <v>0</v>
      </c>
      <c r="M48" s="4" t="e">
        <f t="shared" ref="M48:Q48" si="43">AVERAGE(M43:M47)</f>
        <v>#DIV/0!</v>
      </c>
      <c r="N48" s="4" t="e">
        <f t="shared" si="43"/>
        <v>#DIV/0!</v>
      </c>
      <c r="O48" s="4">
        <f t="shared" si="43"/>
        <v>6.6848000000000001</v>
      </c>
      <c r="P48" s="4">
        <f t="shared" si="43"/>
        <v>6.6847999999999994E-3</v>
      </c>
      <c r="Q48" s="4">
        <f t="shared" si="43"/>
        <v>8.7141142857142848E-2</v>
      </c>
    </row>
    <row r="49" spans="3:17" ht="15.75" thickBot="1" x14ac:dyDescent="0.3"/>
    <row r="50" spans="3:17" ht="16.5" thickBot="1" x14ac:dyDescent="0.3">
      <c r="C50" s="20" t="s">
        <v>22</v>
      </c>
      <c r="D50" s="21"/>
      <c r="E50" s="11"/>
      <c r="H50">
        <f>AVERAGE(H22,H14)</f>
        <v>8684.7055</v>
      </c>
      <c r="J50">
        <f>AVERAGE(J14,J22)</f>
        <v>2.677</v>
      </c>
      <c r="O50">
        <f>AVERAGE(O2:O6,O10:O14,O18:O22,O26:O31,O35:O39,O43:O47)</f>
        <v>8.6794838709677418</v>
      </c>
      <c r="Q50">
        <f>AVERAGE(Q2:Q6,Q10:Q14,Q18:Q22,Q26:Q31,Q35:Q39,Q43:Q47)</f>
        <v>0.11314327188940092</v>
      </c>
    </row>
    <row r="51" spans="3:17" x14ac:dyDescent="0.25">
      <c r="C51" s="22" t="s">
        <v>23</v>
      </c>
      <c r="D51" s="23"/>
      <c r="E51" s="5"/>
    </row>
    <row r="52" spans="3:17" ht="15.75" thickBot="1" x14ac:dyDescent="0.3">
      <c r="C52" s="24" t="s">
        <v>24</v>
      </c>
      <c r="D52" s="25"/>
      <c r="E52" s="5"/>
    </row>
    <row r="53" spans="3:17" x14ac:dyDescent="0.25">
      <c r="C53" s="18" t="s">
        <v>25</v>
      </c>
      <c r="D53" s="19"/>
      <c r="E53" s="5"/>
    </row>
    <row r="54" spans="3:17" x14ac:dyDescent="0.25">
      <c r="C54" s="26" t="s">
        <v>26</v>
      </c>
      <c r="D54" s="27"/>
      <c r="E54" s="5"/>
    </row>
    <row r="55" spans="3:17" ht="15.75" thickBot="1" x14ac:dyDescent="0.3">
      <c r="C55" s="16" t="s">
        <v>27</v>
      </c>
      <c r="D55" s="17"/>
      <c r="E55" s="5"/>
    </row>
    <row r="56" spans="3:17" ht="15.75" thickBot="1" x14ac:dyDescent="0.3">
      <c r="C56" s="18" t="s">
        <v>28</v>
      </c>
      <c r="D56" s="19"/>
      <c r="E56" s="5"/>
    </row>
    <row r="57" spans="3:17" ht="15.75" thickBot="1" x14ac:dyDescent="0.3">
      <c r="C57" s="18" t="s">
        <v>29</v>
      </c>
      <c r="D57" s="19"/>
      <c r="E57" s="5"/>
      <c r="G57" s="12"/>
      <c r="H57" s="12"/>
    </row>
    <row r="58" spans="3:17" ht="15.75" thickBot="1" x14ac:dyDescent="0.3">
      <c r="C58" s="15" t="s">
        <v>30</v>
      </c>
      <c r="D58" s="13">
        <v>0.19578576490285401</v>
      </c>
      <c r="E58" s="5"/>
    </row>
    <row r="59" spans="3:17" x14ac:dyDescent="0.25">
      <c r="C59" s="5"/>
      <c r="D59" s="5"/>
      <c r="E59" s="5"/>
    </row>
    <row r="60" spans="3:17" x14ac:dyDescent="0.25">
      <c r="C60" s="5"/>
      <c r="D60" s="5"/>
    </row>
  </sheetData>
  <mergeCells count="14">
    <mergeCell ref="A43:A47"/>
    <mergeCell ref="A2:A6"/>
    <mergeCell ref="A10:A14"/>
    <mergeCell ref="A18:A22"/>
    <mergeCell ref="A26:A31"/>
    <mergeCell ref="A35:A39"/>
    <mergeCell ref="C56:D56"/>
    <mergeCell ref="C57:D57"/>
    <mergeCell ref="C50:D50"/>
    <mergeCell ref="C51:D51"/>
    <mergeCell ref="C52:D52"/>
    <mergeCell ref="C53:D53"/>
    <mergeCell ref="C54:D54"/>
    <mergeCell ref="C55:D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21B8-42F6-4803-8D2E-6B8B79FA01FA}">
  <dimension ref="A1:G6"/>
  <sheetViews>
    <sheetView workbookViewId="0">
      <selection activeCell="A7" sqref="A7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7" ht="15.75" thickBot="1" x14ac:dyDescent="0.3">
      <c r="A1" s="1" t="s">
        <v>17</v>
      </c>
      <c r="B1" s="14" t="s">
        <v>4</v>
      </c>
      <c r="C1" s="1" t="s">
        <v>5</v>
      </c>
      <c r="D1" s="5"/>
    </row>
    <row r="2" spans="1:7" ht="16.5" thickBot="1" x14ac:dyDescent="0.3">
      <c r="A2" t="s">
        <v>39</v>
      </c>
      <c r="F2" s="20" t="s">
        <v>22</v>
      </c>
      <c r="G2" s="21"/>
    </row>
    <row r="3" spans="1:7" x14ac:dyDescent="0.25">
      <c r="A3">
        <v>1</v>
      </c>
      <c r="B3">
        <v>14226.839</v>
      </c>
      <c r="C3">
        <f>B3/1000000</f>
        <v>1.4226839E-2</v>
      </c>
      <c r="F3" s="22" t="s">
        <v>23</v>
      </c>
      <c r="G3" s="23"/>
    </row>
    <row r="4" spans="1:7" ht="15.75" thickBot="1" x14ac:dyDescent="0.3">
      <c r="A4" t="s">
        <v>40</v>
      </c>
      <c r="F4" s="24" t="s">
        <v>24</v>
      </c>
      <c r="G4" s="25"/>
    </row>
    <row r="5" spans="1:7" x14ac:dyDescent="0.25">
      <c r="A5">
        <v>1</v>
      </c>
      <c r="B5">
        <v>5192.6540000000005</v>
      </c>
      <c r="C5">
        <f t="shared" ref="C5:C6" si="0">B5/1000000</f>
        <v>5.1926540000000005E-3</v>
      </c>
      <c r="F5" s="5"/>
      <c r="G5" s="5"/>
    </row>
    <row r="6" spans="1:7" x14ac:dyDescent="0.25">
      <c r="A6">
        <v>2</v>
      </c>
      <c r="B6">
        <v>1092.49</v>
      </c>
      <c r="C6">
        <f t="shared" si="0"/>
        <v>1.09249E-3</v>
      </c>
      <c r="F6" s="5"/>
      <c r="G6" s="5"/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Control_Coupons</vt:lpstr>
      <vt:lpstr>Control_Pits</vt:lpstr>
      <vt:lpstr>Test_Coupons</vt:lpstr>
      <vt:lpstr>Test_Pits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2023-02-16T10:01:48Z</dcterms:created>
  <dcterms:modified xsi:type="dcterms:W3CDTF">2024-07-17T19:04:05Z</dcterms:modified>
  <cp:category/>
  <cp:contentStatus/>
</cp:coreProperties>
</file>